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30720" windowHeight="9468" firstSheet="1" activeTab="5"/>
  </bookViews>
  <sheets>
    <sheet name="Curva ABC - Rick" sheetId="18" r:id="rId1"/>
    <sheet name="Planilha sintetica" sheetId="12" r:id="rId2"/>
    <sheet name="Memorial de Cálculo" sheetId="15" r:id="rId3"/>
    <sheet name="Orçamento Analítico" sheetId="4" r:id="rId4"/>
    <sheet name="CRONOG" sheetId="5" r:id="rId5"/>
    <sheet name="BDI" sheetId="8" r:id="rId6"/>
    <sheet name="Curva ABC de Insumos" sheetId="6" r:id="rId7"/>
    <sheet name="COTAÇaO ADUELA" sheetId="16" r:id="rId8"/>
  </sheets>
  <externalReferences>
    <externalReference r:id="rId9"/>
    <externalReference r:id="rId10"/>
    <externalReference r:id="rId11"/>
  </externalReferences>
  <definedNames>
    <definedName name="__shared_1_0_0" localSheetId="7">#REF!</definedName>
    <definedName name="__shared_1_0_0" localSheetId="0">#REF!</definedName>
    <definedName name="__shared_1_0_0" localSheetId="2">#REF!</definedName>
    <definedName name="__shared_1_0_0">#REF!</definedName>
    <definedName name="__shared_1_0_1">#N/A</definedName>
    <definedName name="__shared_1_0_10">#N/A</definedName>
    <definedName name="__shared_1_0_100">#N/A</definedName>
    <definedName name="__shared_1_0_101">#N/A</definedName>
    <definedName name="__shared_1_0_102">#N/A</definedName>
    <definedName name="__shared_1_0_103">#N/A</definedName>
    <definedName name="__shared_1_0_104">#N/A</definedName>
    <definedName name="__shared_1_0_105">#N/A</definedName>
    <definedName name="__shared_1_0_106">#N/A</definedName>
    <definedName name="__shared_1_0_107">#N/A</definedName>
    <definedName name="__shared_1_0_108">#N/A</definedName>
    <definedName name="__shared_1_0_109">#N/A</definedName>
    <definedName name="__shared_1_0_11" localSheetId="7">#REF!</definedName>
    <definedName name="__shared_1_0_11" localSheetId="0">#REF!</definedName>
    <definedName name="__shared_1_0_11" localSheetId="2">#REF!</definedName>
    <definedName name="__shared_1_0_11">#REF!</definedName>
    <definedName name="__shared_1_0_110">#N/A</definedName>
    <definedName name="__shared_1_0_111">#N/A</definedName>
    <definedName name="__shared_1_0_112">#N/A</definedName>
    <definedName name="__shared_1_0_113">#N/A</definedName>
    <definedName name="__shared_1_0_114">#N/A</definedName>
    <definedName name="__shared_1_0_115">#N/A</definedName>
    <definedName name="__shared_1_0_116">#N/A</definedName>
    <definedName name="__shared_1_0_117">#N/A</definedName>
    <definedName name="__shared_1_0_118">#N/A</definedName>
    <definedName name="__shared_1_0_119">#N/A</definedName>
    <definedName name="__shared_1_0_12">#N/A</definedName>
    <definedName name="__shared_1_0_120">#N/A</definedName>
    <definedName name="__shared_1_0_121">#N/A</definedName>
    <definedName name="__shared_1_0_122" localSheetId="7">#REF!</definedName>
    <definedName name="__shared_1_0_122" localSheetId="0">#REF!</definedName>
    <definedName name="__shared_1_0_122" localSheetId="2">#REF!</definedName>
    <definedName name="__shared_1_0_122">#REF!</definedName>
    <definedName name="__shared_1_0_123">#N/A</definedName>
    <definedName name="__shared_1_0_124">#N/A</definedName>
    <definedName name="__shared_1_0_125">#N/A</definedName>
    <definedName name="__shared_1_0_126">#N/A</definedName>
    <definedName name="__shared_1_0_127">#N/A</definedName>
    <definedName name="__shared_1_0_128">#N/A</definedName>
    <definedName name="__shared_1_0_129">#N/A</definedName>
    <definedName name="__shared_1_0_13">#N/A</definedName>
    <definedName name="__shared_1_0_130">#N/A</definedName>
    <definedName name="__shared_1_0_131">#N/A</definedName>
    <definedName name="__shared_1_0_132">#N/A</definedName>
    <definedName name="__shared_1_0_133">#N/A</definedName>
    <definedName name="__shared_1_0_134">#N/A</definedName>
    <definedName name="__shared_1_0_135">#N/A</definedName>
    <definedName name="__shared_1_0_136">#N/A</definedName>
    <definedName name="__shared_1_0_137">#N/A</definedName>
    <definedName name="__shared_1_0_138">#N/A</definedName>
    <definedName name="__shared_1_0_139" localSheetId="7">#REF!</definedName>
    <definedName name="__shared_1_0_139" localSheetId="0">#REF!</definedName>
    <definedName name="__shared_1_0_139" localSheetId="2">#REF!</definedName>
    <definedName name="__shared_1_0_139">#REF!</definedName>
    <definedName name="__shared_1_0_14">#N/A</definedName>
    <definedName name="__shared_1_0_140">#N/A</definedName>
    <definedName name="__shared_1_0_141">#N/A</definedName>
    <definedName name="__shared_1_0_142">#N/A</definedName>
    <definedName name="__shared_1_0_143">#N/A</definedName>
    <definedName name="__shared_1_0_144">#N/A</definedName>
    <definedName name="__shared_1_0_145">#N/A</definedName>
    <definedName name="__shared_1_0_146">#N/A</definedName>
    <definedName name="__shared_1_0_147">#N/A</definedName>
    <definedName name="__shared_1_0_148">#N/A</definedName>
    <definedName name="__shared_1_0_149">#N/A</definedName>
    <definedName name="__shared_1_0_15">#N/A</definedName>
    <definedName name="__shared_1_0_150">#N/A</definedName>
    <definedName name="__shared_1_0_151" localSheetId="7">#REF!</definedName>
    <definedName name="__shared_1_0_151" localSheetId="0">#REF!</definedName>
    <definedName name="__shared_1_0_151" localSheetId="2">#REF!</definedName>
    <definedName name="__shared_1_0_151">#REF!</definedName>
    <definedName name="__shared_1_0_152">#N/A</definedName>
    <definedName name="__shared_1_0_153">#N/A</definedName>
    <definedName name="__shared_1_0_154">#N/A</definedName>
    <definedName name="__shared_1_0_155">#N/A</definedName>
    <definedName name="__shared_1_0_156">#N/A</definedName>
    <definedName name="__shared_1_0_157">#N/A</definedName>
    <definedName name="__shared_1_0_158">#N/A</definedName>
    <definedName name="__shared_1_0_159">#N/A</definedName>
    <definedName name="__shared_1_0_16">#N/A</definedName>
    <definedName name="__shared_1_0_160">#N/A</definedName>
    <definedName name="__shared_1_0_161">#N/A</definedName>
    <definedName name="__shared_1_0_162">#N/A</definedName>
    <definedName name="__shared_1_0_163" localSheetId="7">#REF!</definedName>
    <definedName name="__shared_1_0_163" localSheetId="0">#REF!</definedName>
    <definedName name="__shared_1_0_163" localSheetId="2">#REF!</definedName>
    <definedName name="__shared_1_0_163">#REF!</definedName>
    <definedName name="__shared_1_0_164">#N/A</definedName>
    <definedName name="__shared_1_0_165">#N/A</definedName>
    <definedName name="__shared_1_0_166">#N/A</definedName>
    <definedName name="__shared_1_0_167">#N/A</definedName>
    <definedName name="__shared_1_0_168">#N/A</definedName>
    <definedName name="__shared_1_0_169">#N/A</definedName>
    <definedName name="__shared_1_0_17">#N/A</definedName>
    <definedName name="__shared_1_0_170">#N/A</definedName>
    <definedName name="__shared_1_0_171">#N/A</definedName>
    <definedName name="__shared_1_0_172">#N/A</definedName>
    <definedName name="__shared_1_0_173">#N/A</definedName>
    <definedName name="__shared_1_0_174">#N/A</definedName>
    <definedName name="__shared_1_0_175">#N/A</definedName>
    <definedName name="__shared_1_0_176" localSheetId="7">#REF!</definedName>
    <definedName name="__shared_1_0_176" localSheetId="0">#REF!</definedName>
    <definedName name="__shared_1_0_176" localSheetId="2">#REF!</definedName>
    <definedName name="__shared_1_0_176">#REF!</definedName>
    <definedName name="__shared_1_0_177">#N/A</definedName>
    <definedName name="__shared_1_0_178">#N/A</definedName>
    <definedName name="__shared_1_0_179">#N/A</definedName>
    <definedName name="__shared_1_0_18">#N/A</definedName>
    <definedName name="__shared_1_0_180">#N/A</definedName>
    <definedName name="__shared_1_0_181">#N/A</definedName>
    <definedName name="__shared_1_0_182">#N/A</definedName>
    <definedName name="__shared_1_0_183">#N/A</definedName>
    <definedName name="__shared_1_0_184">#N/A</definedName>
    <definedName name="__shared_1_0_185">#N/A</definedName>
    <definedName name="__shared_1_0_186">#N/A</definedName>
    <definedName name="__shared_1_0_187" localSheetId="7">#REF!</definedName>
    <definedName name="__shared_1_0_187" localSheetId="0">#REF!</definedName>
    <definedName name="__shared_1_0_187" localSheetId="2">#REF!</definedName>
    <definedName name="__shared_1_0_187">#REF!</definedName>
    <definedName name="__shared_1_0_188">#N/A</definedName>
    <definedName name="__shared_1_0_189">#N/A</definedName>
    <definedName name="__shared_1_0_19">#N/A</definedName>
    <definedName name="__shared_1_0_190">#N/A</definedName>
    <definedName name="__shared_1_0_191">#N/A</definedName>
    <definedName name="__shared_1_0_192">#N/A</definedName>
    <definedName name="__shared_1_0_193">#N/A</definedName>
    <definedName name="__shared_1_0_194">#N/A</definedName>
    <definedName name="__shared_1_0_195">#N/A</definedName>
    <definedName name="__shared_1_0_196">#N/A</definedName>
    <definedName name="__shared_1_0_197">#N/A</definedName>
    <definedName name="__shared_1_0_198" localSheetId="7">#REF!</definedName>
    <definedName name="__shared_1_0_198" localSheetId="0">#REF!</definedName>
    <definedName name="__shared_1_0_198" localSheetId="2">#REF!</definedName>
    <definedName name="__shared_1_0_198">#REF!</definedName>
    <definedName name="__shared_1_0_199">#N/A</definedName>
    <definedName name="__shared_1_0_2">#N/A</definedName>
    <definedName name="__shared_1_0_20">#N/A</definedName>
    <definedName name="__shared_1_0_200">#N/A</definedName>
    <definedName name="__shared_1_0_201">#N/A</definedName>
    <definedName name="__shared_1_0_202">#N/A</definedName>
    <definedName name="__shared_1_0_203">#N/A</definedName>
    <definedName name="__shared_1_0_204">#N/A</definedName>
    <definedName name="__shared_1_0_205">#N/A</definedName>
    <definedName name="__shared_1_0_206">#N/A</definedName>
    <definedName name="__shared_1_0_207">#N/A</definedName>
    <definedName name="__shared_1_0_208">#N/A</definedName>
    <definedName name="__shared_1_0_209" localSheetId="7">#REF!</definedName>
    <definedName name="__shared_1_0_209" localSheetId="0">#REF!</definedName>
    <definedName name="__shared_1_0_209" localSheetId="2">#REF!</definedName>
    <definedName name="__shared_1_0_209">#REF!</definedName>
    <definedName name="__shared_1_0_21">#N/A</definedName>
    <definedName name="__shared_1_0_210">#N/A</definedName>
    <definedName name="__shared_1_0_211">#N/A</definedName>
    <definedName name="__shared_1_0_212">#N/A</definedName>
    <definedName name="__shared_1_0_213">#N/A</definedName>
    <definedName name="__shared_1_0_214">#N/A</definedName>
    <definedName name="__shared_1_0_215">#N/A</definedName>
    <definedName name="__shared_1_0_216">#N/A</definedName>
    <definedName name="__shared_1_0_217">#N/A</definedName>
    <definedName name="__shared_1_0_218">#N/A</definedName>
    <definedName name="__shared_1_0_219">#N/A</definedName>
    <definedName name="__shared_1_0_22" localSheetId="7">#REF!</definedName>
    <definedName name="__shared_1_0_22" localSheetId="0">#REF!</definedName>
    <definedName name="__shared_1_0_22" localSheetId="2">#REF!</definedName>
    <definedName name="__shared_1_0_22">#REF!</definedName>
    <definedName name="__shared_1_0_220" localSheetId="7">#REF!</definedName>
    <definedName name="__shared_1_0_220" localSheetId="0">#REF!</definedName>
    <definedName name="__shared_1_0_220" localSheetId="2">#REF!</definedName>
    <definedName name="__shared_1_0_220">#REF!</definedName>
    <definedName name="__shared_1_0_221">#N/A</definedName>
    <definedName name="__shared_1_0_222">#N/A</definedName>
    <definedName name="__shared_1_0_223">#N/A</definedName>
    <definedName name="__shared_1_0_224">#N/A</definedName>
    <definedName name="__shared_1_0_225">#N/A</definedName>
    <definedName name="__shared_1_0_226">#N/A</definedName>
    <definedName name="__shared_1_0_227">#N/A</definedName>
    <definedName name="__shared_1_0_228">#N/A</definedName>
    <definedName name="__shared_1_0_229">#N/A</definedName>
    <definedName name="__shared_1_0_23">#N/A</definedName>
    <definedName name="__shared_1_0_230">#N/A</definedName>
    <definedName name="__shared_1_0_231">#N/A</definedName>
    <definedName name="__shared_1_0_232" localSheetId="7">#REF!</definedName>
    <definedName name="__shared_1_0_232" localSheetId="0">#REF!</definedName>
    <definedName name="__shared_1_0_232" localSheetId="2">#REF!</definedName>
    <definedName name="__shared_1_0_232">#REF!</definedName>
    <definedName name="__shared_1_0_233">#N/A</definedName>
    <definedName name="__shared_1_0_234">#N/A</definedName>
    <definedName name="__shared_1_0_235">#N/A</definedName>
    <definedName name="__shared_1_0_236">#N/A</definedName>
    <definedName name="__shared_1_0_237">#N/A</definedName>
    <definedName name="__shared_1_0_238">#N/A</definedName>
    <definedName name="__shared_1_0_239">#N/A</definedName>
    <definedName name="__shared_1_0_24">#N/A</definedName>
    <definedName name="__shared_1_0_240">#N/A</definedName>
    <definedName name="__shared_1_0_241">#N/A</definedName>
    <definedName name="__shared_1_0_242">#N/A</definedName>
    <definedName name="__shared_1_0_243" localSheetId="7">#REF!</definedName>
    <definedName name="__shared_1_0_243" localSheetId="0">#REF!</definedName>
    <definedName name="__shared_1_0_243" localSheetId="2">#REF!</definedName>
    <definedName name="__shared_1_0_243">#REF!</definedName>
    <definedName name="__shared_1_0_244">#N/A</definedName>
    <definedName name="__shared_1_0_245">#N/A</definedName>
    <definedName name="__shared_1_0_246">#N/A</definedName>
    <definedName name="__shared_1_0_247">#N/A</definedName>
    <definedName name="__shared_1_0_248">#N/A</definedName>
    <definedName name="__shared_1_0_249">#N/A</definedName>
    <definedName name="__shared_1_0_25">#N/A</definedName>
    <definedName name="__shared_1_0_250">#N/A</definedName>
    <definedName name="__shared_1_0_251">#N/A</definedName>
    <definedName name="__shared_1_0_252">#N/A</definedName>
    <definedName name="__shared_1_0_253">#N/A</definedName>
    <definedName name="__shared_1_0_254" localSheetId="7">#REF!</definedName>
    <definedName name="__shared_1_0_254" localSheetId="0">#REF!</definedName>
    <definedName name="__shared_1_0_254" localSheetId="2">#REF!</definedName>
    <definedName name="__shared_1_0_254">#REF!</definedName>
    <definedName name="__shared_1_0_255">#N/A</definedName>
    <definedName name="__shared_1_0_256">#N/A</definedName>
    <definedName name="__shared_1_0_257">#N/A</definedName>
    <definedName name="__shared_1_0_258">#N/A</definedName>
    <definedName name="__shared_1_0_259">#N/A</definedName>
    <definedName name="__shared_1_0_26">#N/A</definedName>
    <definedName name="__shared_1_0_260">#N/A</definedName>
    <definedName name="__shared_1_0_261">#N/A</definedName>
    <definedName name="__shared_1_0_262">#N/A</definedName>
    <definedName name="__shared_1_0_263">#N/A</definedName>
    <definedName name="__shared_1_0_264">#N/A</definedName>
    <definedName name="__shared_1_0_265" localSheetId="7">#REF!</definedName>
    <definedName name="__shared_1_0_265" localSheetId="0">#REF!</definedName>
    <definedName name="__shared_1_0_265" localSheetId="2">#REF!</definedName>
    <definedName name="__shared_1_0_265">#REF!</definedName>
    <definedName name="__shared_1_0_266">#N/A</definedName>
    <definedName name="__shared_1_0_267">#N/A</definedName>
    <definedName name="__shared_1_0_268">#N/A</definedName>
    <definedName name="__shared_1_0_269">#N/A</definedName>
    <definedName name="__shared_1_0_27">#N/A</definedName>
    <definedName name="__shared_1_0_270">#N/A</definedName>
    <definedName name="__shared_1_0_271">#N/A</definedName>
    <definedName name="__shared_1_0_272">#N/A</definedName>
    <definedName name="__shared_1_0_273">#N/A</definedName>
    <definedName name="__shared_1_0_274">#N/A</definedName>
    <definedName name="__shared_1_0_275">#N/A</definedName>
    <definedName name="__shared_1_0_276" localSheetId="7">#REF!</definedName>
    <definedName name="__shared_1_0_276" localSheetId="0">#REF!</definedName>
    <definedName name="__shared_1_0_276" localSheetId="2">#REF!</definedName>
    <definedName name="__shared_1_0_276">#REF!</definedName>
    <definedName name="__shared_1_0_277">#N/A</definedName>
    <definedName name="__shared_1_0_278">#N/A</definedName>
    <definedName name="__shared_1_0_279">#N/A</definedName>
    <definedName name="__shared_1_0_28">#N/A</definedName>
    <definedName name="__shared_1_0_280">#N/A</definedName>
    <definedName name="__shared_1_0_281">#N/A</definedName>
    <definedName name="__shared_1_0_282">#N/A</definedName>
    <definedName name="__shared_1_0_283">#N/A</definedName>
    <definedName name="__shared_1_0_284">#N/A</definedName>
    <definedName name="__shared_1_0_285">#N/A</definedName>
    <definedName name="__shared_1_0_286">#N/A</definedName>
    <definedName name="__shared_1_0_287" localSheetId="7">#REF!</definedName>
    <definedName name="__shared_1_0_287" localSheetId="0">#REF!</definedName>
    <definedName name="__shared_1_0_287" localSheetId="2">#REF!</definedName>
    <definedName name="__shared_1_0_287">#REF!</definedName>
    <definedName name="__shared_1_0_288">#N/A</definedName>
    <definedName name="__shared_1_0_289">#N/A</definedName>
    <definedName name="__shared_1_0_29">#N/A</definedName>
    <definedName name="__shared_1_0_290">#N/A</definedName>
    <definedName name="__shared_1_0_291">#N/A</definedName>
    <definedName name="__shared_1_0_292">#N/A</definedName>
    <definedName name="__shared_1_0_293">#N/A</definedName>
    <definedName name="__shared_1_0_294">#N/A</definedName>
    <definedName name="__shared_1_0_295">#N/A</definedName>
    <definedName name="__shared_1_0_296">#N/A</definedName>
    <definedName name="__shared_1_0_297">#N/A</definedName>
    <definedName name="__shared_1_0_298" localSheetId="7">#REF!</definedName>
    <definedName name="__shared_1_0_298" localSheetId="0">#REF!</definedName>
    <definedName name="__shared_1_0_298" localSheetId="2">#REF!</definedName>
    <definedName name="__shared_1_0_298">#REF!</definedName>
    <definedName name="__shared_1_0_299">#N/A</definedName>
    <definedName name="__shared_1_0_3">#N/A</definedName>
    <definedName name="__shared_1_0_30">#N/A</definedName>
    <definedName name="__shared_1_0_300">#N/A</definedName>
    <definedName name="__shared_1_0_301">#N/A</definedName>
    <definedName name="__shared_1_0_302">#N/A</definedName>
    <definedName name="__shared_1_0_303">#N/A</definedName>
    <definedName name="__shared_1_0_304">#N/A</definedName>
    <definedName name="__shared_1_0_305">#N/A</definedName>
    <definedName name="__shared_1_0_306">#N/A</definedName>
    <definedName name="__shared_1_0_307">#N/A</definedName>
    <definedName name="__shared_1_0_308">#N/A</definedName>
    <definedName name="__shared_1_0_309" localSheetId="7">#REF!</definedName>
    <definedName name="__shared_1_0_309" localSheetId="0">#REF!</definedName>
    <definedName name="__shared_1_0_309" localSheetId="2">#REF!</definedName>
    <definedName name="__shared_1_0_309">#REF!</definedName>
    <definedName name="__shared_1_0_31">#N/A</definedName>
    <definedName name="__shared_1_0_310">#N/A</definedName>
    <definedName name="__shared_1_0_311">#N/A</definedName>
    <definedName name="__shared_1_0_312">#N/A</definedName>
    <definedName name="__shared_1_0_313">#N/A</definedName>
    <definedName name="__shared_1_0_314">#N/A</definedName>
    <definedName name="__shared_1_0_315">#N/A</definedName>
    <definedName name="__shared_1_0_316">#N/A</definedName>
    <definedName name="__shared_1_0_317">#N/A</definedName>
    <definedName name="__shared_1_0_318">#N/A</definedName>
    <definedName name="__shared_1_0_319">#N/A</definedName>
    <definedName name="__shared_1_0_32">#N/A</definedName>
    <definedName name="__shared_1_0_320" localSheetId="7">#REF!</definedName>
    <definedName name="__shared_1_0_320" localSheetId="0">#REF!</definedName>
    <definedName name="__shared_1_0_320" localSheetId="2">#REF!</definedName>
    <definedName name="__shared_1_0_320">#REF!</definedName>
    <definedName name="__shared_1_0_321">#N/A</definedName>
    <definedName name="__shared_1_0_322">#N/A</definedName>
    <definedName name="__shared_1_0_323">#N/A</definedName>
    <definedName name="__shared_1_0_324">#N/A</definedName>
    <definedName name="__shared_1_0_325">#N/A</definedName>
    <definedName name="__shared_1_0_326">#N/A</definedName>
    <definedName name="__shared_1_0_327">#N/A</definedName>
    <definedName name="__shared_1_0_328">#N/A</definedName>
    <definedName name="__shared_1_0_329">#N/A</definedName>
    <definedName name="__shared_1_0_33" localSheetId="7">#REF!</definedName>
    <definedName name="__shared_1_0_33" localSheetId="0">#REF!</definedName>
    <definedName name="__shared_1_0_33" localSheetId="2">#REF!</definedName>
    <definedName name="__shared_1_0_33">#REF!</definedName>
    <definedName name="__shared_1_0_330">#N/A</definedName>
    <definedName name="__shared_1_0_331" localSheetId="7">#REF!</definedName>
    <definedName name="__shared_1_0_331" localSheetId="0">#REF!</definedName>
    <definedName name="__shared_1_0_331" localSheetId="2">#REF!</definedName>
    <definedName name="__shared_1_0_331">#REF!</definedName>
    <definedName name="__shared_1_0_332">#N/A</definedName>
    <definedName name="__shared_1_0_333">#N/A</definedName>
    <definedName name="__shared_1_0_334">#N/A</definedName>
    <definedName name="__shared_1_0_335">#N/A</definedName>
    <definedName name="__shared_1_0_336">#N/A</definedName>
    <definedName name="__shared_1_0_337">#N/A</definedName>
    <definedName name="__shared_1_0_338">#N/A</definedName>
    <definedName name="__shared_1_0_339">#N/A</definedName>
    <definedName name="__shared_1_0_34">#N/A</definedName>
    <definedName name="__shared_1_0_340">#N/A</definedName>
    <definedName name="__shared_1_0_341">#N/A</definedName>
    <definedName name="__shared_1_0_342" localSheetId="7">#REF!</definedName>
    <definedName name="__shared_1_0_342" localSheetId="0">#REF!</definedName>
    <definedName name="__shared_1_0_342" localSheetId="2">#REF!</definedName>
    <definedName name="__shared_1_0_342">#REF!</definedName>
    <definedName name="__shared_1_0_342_1" localSheetId="7">#REF!</definedName>
    <definedName name="__shared_1_0_342_1" localSheetId="0">#REF!</definedName>
    <definedName name="__shared_1_0_342_1" localSheetId="2">#REF!</definedName>
    <definedName name="__shared_1_0_342_1">#REF!</definedName>
    <definedName name="__shared_1_0_343">#N/A</definedName>
    <definedName name="__shared_1_0_344">#N/A</definedName>
    <definedName name="__shared_1_0_345">#N/A</definedName>
    <definedName name="__shared_1_0_346">#N/A</definedName>
    <definedName name="__shared_1_0_347">#N/A</definedName>
    <definedName name="__shared_1_0_348">#N/A</definedName>
    <definedName name="__shared_1_0_349">#N/A</definedName>
    <definedName name="__shared_1_0_35">#N/A</definedName>
    <definedName name="__shared_1_0_350">#N/A</definedName>
    <definedName name="__shared_1_0_351">#N/A</definedName>
    <definedName name="__shared_1_0_352">#N/A</definedName>
    <definedName name="__shared_1_0_353" localSheetId="7">#REF!</definedName>
    <definedName name="__shared_1_0_353" localSheetId="0">#REF!</definedName>
    <definedName name="__shared_1_0_353" localSheetId="2">#REF!</definedName>
    <definedName name="__shared_1_0_353">#REF!</definedName>
    <definedName name="__shared_1_0_354">#N/A</definedName>
    <definedName name="__shared_1_0_355">#N/A</definedName>
    <definedName name="__shared_1_0_356">#N/A</definedName>
    <definedName name="__shared_1_0_357">#N/A</definedName>
    <definedName name="__shared_1_0_358">#N/A</definedName>
    <definedName name="__shared_1_0_359">#N/A</definedName>
    <definedName name="__shared_1_0_36">#N/A</definedName>
    <definedName name="__shared_1_0_360">#N/A</definedName>
    <definedName name="__shared_1_0_361">#N/A</definedName>
    <definedName name="__shared_1_0_362">#N/A</definedName>
    <definedName name="__shared_1_0_363">#N/A</definedName>
    <definedName name="__shared_1_0_364" localSheetId="7">#REF!</definedName>
    <definedName name="__shared_1_0_364" localSheetId="0">#REF!</definedName>
    <definedName name="__shared_1_0_364" localSheetId="2">#REF!</definedName>
    <definedName name="__shared_1_0_364">#REF!</definedName>
    <definedName name="__shared_1_0_365">#N/A</definedName>
    <definedName name="__shared_1_0_366">#N/A</definedName>
    <definedName name="__shared_1_0_367">#N/A</definedName>
    <definedName name="__shared_1_0_368">#N/A</definedName>
    <definedName name="__shared_1_0_369">#N/A</definedName>
    <definedName name="__shared_1_0_37">#N/A</definedName>
    <definedName name="__shared_1_0_370">#N/A</definedName>
    <definedName name="__shared_1_0_371">#N/A</definedName>
    <definedName name="__shared_1_0_372">#N/A</definedName>
    <definedName name="__shared_1_0_373">#N/A</definedName>
    <definedName name="__shared_1_0_374">#N/A</definedName>
    <definedName name="__shared_1_0_375" localSheetId="7">#REF!</definedName>
    <definedName name="__shared_1_0_375" localSheetId="0">#REF!</definedName>
    <definedName name="__shared_1_0_375" localSheetId="2">#REF!</definedName>
    <definedName name="__shared_1_0_375">#REF!</definedName>
    <definedName name="__shared_1_0_376">#N/A</definedName>
    <definedName name="__shared_1_0_377">#N/A</definedName>
    <definedName name="__shared_1_0_378">#N/A</definedName>
    <definedName name="__shared_1_0_379">#N/A</definedName>
    <definedName name="__shared_1_0_38">#N/A</definedName>
    <definedName name="__shared_1_0_380">#N/A</definedName>
    <definedName name="__shared_1_0_381">#N/A</definedName>
    <definedName name="__shared_1_0_382">#N/A</definedName>
    <definedName name="__shared_1_0_383">#N/A</definedName>
    <definedName name="__shared_1_0_384">#N/A</definedName>
    <definedName name="__shared_1_0_385">#N/A</definedName>
    <definedName name="__shared_1_0_386" localSheetId="7">#REF!</definedName>
    <definedName name="__shared_1_0_386" localSheetId="0">#REF!</definedName>
    <definedName name="__shared_1_0_386" localSheetId="2">#REF!</definedName>
    <definedName name="__shared_1_0_386">#REF!</definedName>
    <definedName name="__shared_1_0_387">#N/A</definedName>
    <definedName name="__shared_1_0_388">#N/A</definedName>
    <definedName name="__shared_1_0_389">#N/A</definedName>
    <definedName name="__shared_1_0_39">#N/A</definedName>
    <definedName name="__shared_1_0_390">#N/A</definedName>
    <definedName name="__shared_1_0_391">#N/A</definedName>
    <definedName name="__shared_1_0_392">#N/A</definedName>
    <definedName name="__shared_1_0_393">#N/A</definedName>
    <definedName name="__shared_1_0_394">#N/A</definedName>
    <definedName name="__shared_1_0_395">#N/A</definedName>
    <definedName name="__shared_1_0_396">#N/A</definedName>
    <definedName name="__shared_1_0_397" localSheetId="7">#REF!</definedName>
    <definedName name="__shared_1_0_397" localSheetId="0">#REF!</definedName>
    <definedName name="__shared_1_0_397" localSheetId="2">#REF!</definedName>
    <definedName name="__shared_1_0_397">#REF!</definedName>
    <definedName name="__shared_1_0_398">#N/A</definedName>
    <definedName name="__shared_1_0_399">#N/A</definedName>
    <definedName name="__shared_1_0_4">#N/A</definedName>
    <definedName name="__shared_1_0_40">#N/A</definedName>
    <definedName name="__shared_1_0_400">#N/A</definedName>
    <definedName name="__shared_1_0_401">#N/A</definedName>
    <definedName name="__shared_1_0_402">#N/A</definedName>
    <definedName name="__shared_1_0_403">#N/A</definedName>
    <definedName name="__shared_1_0_404">#N/A</definedName>
    <definedName name="__shared_1_0_405">#N/A</definedName>
    <definedName name="__shared_1_0_406">#N/A</definedName>
    <definedName name="__shared_1_0_407">#N/A</definedName>
    <definedName name="__shared_1_0_408" localSheetId="7">#REF!</definedName>
    <definedName name="__shared_1_0_408" localSheetId="0">#REF!</definedName>
    <definedName name="__shared_1_0_408" localSheetId="2">#REF!</definedName>
    <definedName name="__shared_1_0_408">#REF!</definedName>
    <definedName name="__shared_1_0_409">#N/A</definedName>
    <definedName name="__shared_1_0_41">#N/A</definedName>
    <definedName name="__shared_1_0_410">#N/A</definedName>
    <definedName name="__shared_1_0_411">#N/A</definedName>
    <definedName name="__shared_1_0_412">#N/A</definedName>
    <definedName name="__shared_1_0_413">#N/A</definedName>
    <definedName name="__shared_1_0_414">#N/A</definedName>
    <definedName name="__shared_1_0_415">#N/A</definedName>
    <definedName name="__shared_1_0_416">#N/A</definedName>
    <definedName name="__shared_1_0_417">#N/A</definedName>
    <definedName name="__shared_1_0_418">#N/A</definedName>
    <definedName name="__shared_1_0_419" localSheetId="7">#REF!</definedName>
    <definedName name="__shared_1_0_419" localSheetId="0">#REF!</definedName>
    <definedName name="__shared_1_0_419" localSheetId="2">#REF!</definedName>
    <definedName name="__shared_1_0_419">#REF!</definedName>
    <definedName name="__shared_1_0_42">#N/A</definedName>
    <definedName name="__shared_1_0_420">#N/A</definedName>
    <definedName name="__shared_1_0_421">#N/A</definedName>
    <definedName name="__shared_1_0_422">#N/A</definedName>
    <definedName name="__shared_1_0_423">#N/A</definedName>
    <definedName name="__shared_1_0_424">#N/A</definedName>
    <definedName name="__shared_1_0_425">#N/A</definedName>
    <definedName name="__shared_1_0_426">#N/A</definedName>
    <definedName name="__shared_1_0_427">#N/A</definedName>
    <definedName name="__shared_1_0_428">#N/A</definedName>
    <definedName name="__shared_1_0_429">#N/A</definedName>
    <definedName name="__shared_1_0_43">#N/A</definedName>
    <definedName name="__shared_1_0_430" localSheetId="7">#REF!</definedName>
    <definedName name="__shared_1_0_430" localSheetId="0">#REF!</definedName>
    <definedName name="__shared_1_0_430" localSheetId="2">#REF!</definedName>
    <definedName name="__shared_1_0_430">#REF!</definedName>
    <definedName name="__shared_1_0_431">#N/A</definedName>
    <definedName name="__shared_1_0_432">#N/A</definedName>
    <definedName name="__shared_1_0_433">#N/A</definedName>
    <definedName name="__shared_1_0_434">#N/A</definedName>
    <definedName name="__shared_1_0_435">#N/A</definedName>
    <definedName name="__shared_1_0_436">#N/A</definedName>
    <definedName name="__shared_1_0_437">#N/A</definedName>
    <definedName name="__shared_1_0_438">#N/A</definedName>
    <definedName name="__shared_1_0_439">#N/A</definedName>
    <definedName name="__shared_1_0_44" localSheetId="7">#REF!</definedName>
    <definedName name="__shared_1_0_44" localSheetId="0">#REF!</definedName>
    <definedName name="__shared_1_0_44" localSheetId="2">#REF!</definedName>
    <definedName name="__shared_1_0_44">#REF!</definedName>
    <definedName name="__shared_1_0_440">#N/A</definedName>
    <definedName name="__shared_1_0_441" localSheetId="7">#REF!</definedName>
    <definedName name="__shared_1_0_441" localSheetId="0">#REF!</definedName>
    <definedName name="__shared_1_0_441" localSheetId="2">#REF!</definedName>
    <definedName name="__shared_1_0_441">#REF!</definedName>
    <definedName name="__shared_1_0_442">#N/A</definedName>
    <definedName name="__shared_1_0_443">#N/A</definedName>
    <definedName name="__shared_1_0_444">#N/A</definedName>
    <definedName name="__shared_1_0_445">#N/A</definedName>
    <definedName name="__shared_1_0_446">#N/A</definedName>
    <definedName name="__shared_1_0_447">#N/A</definedName>
    <definedName name="__shared_1_0_448">#N/A</definedName>
    <definedName name="__shared_1_0_449">#N/A</definedName>
    <definedName name="__shared_1_0_45">#N/A</definedName>
    <definedName name="__shared_1_0_450">#N/A</definedName>
    <definedName name="__shared_1_0_451">#N/A</definedName>
    <definedName name="__shared_1_0_452">#N/A</definedName>
    <definedName name="__shared_1_0_453">#N/A</definedName>
    <definedName name="__shared_1_0_454" localSheetId="7">#REF!</definedName>
    <definedName name="__shared_1_0_454" localSheetId="0">#REF!</definedName>
    <definedName name="__shared_1_0_454" localSheetId="2">#REF!</definedName>
    <definedName name="__shared_1_0_454">#REF!</definedName>
    <definedName name="__shared_1_0_455">#N/A</definedName>
    <definedName name="__shared_1_0_456">#N/A</definedName>
    <definedName name="__shared_1_0_457">#N/A</definedName>
    <definedName name="__shared_1_0_458">#N/A</definedName>
    <definedName name="__shared_1_0_459">#N/A</definedName>
    <definedName name="__shared_1_0_46">#N/A</definedName>
    <definedName name="__shared_1_0_460">#N/A</definedName>
    <definedName name="__shared_1_0_461">#N/A</definedName>
    <definedName name="__shared_1_0_462">#N/A</definedName>
    <definedName name="__shared_1_0_463">#N/A</definedName>
    <definedName name="__shared_1_0_464">#N/A</definedName>
    <definedName name="__shared_1_0_465" localSheetId="7">#REF!</definedName>
    <definedName name="__shared_1_0_465" localSheetId="0">#REF!</definedName>
    <definedName name="__shared_1_0_465" localSheetId="2">#REF!</definedName>
    <definedName name="__shared_1_0_465">#REF!</definedName>
    <definedName name="__shared_1_0_466">#N/A</definedName>
    <definedName name="__shared_1_0_467">#N/A</definedName>
    <definedName name="__shared_1_0_468">#N/A</definedName>
    <definedName name="__shared_1_0_469">#N/A</definedName>
    <definedName name="__shared_1_0_47">#N/A</definedName>
    <definedName name="__shared_1_0_470">#N/A</definedName>
    <definedName name="__shared_1_0_471">#N/A</definedName>
    <definedName name="__shared_1_0_472">#N/A</definedName>
    <definedName name="__shared_1_0_473">#N/A</definedName>
    <definedName name="__shared_1_0_474">#N/A</definedName>
    <definedName name="__shared_1_0_475">#N/A</definedName>
    <definedName name="__shared_1_0_476">#N/A</definedName>
    <definedName name="__shared_1_0_477" localSheetId="7">#REF!</definedName>
    <definedName name="__shared_1_0_477" localSheetId="0">#REF!</definedName>
    <definedName name="__shared_1_0_477" localSheetId="2">#REF!</definedName>
    <definedName name="__shared_1_0_477">#REF!</definedName>
    <definedName name="__shared_1_0_478">#N/A</definedName>
    <definedName name="__shared_1_0_479">#N/A</definedName>
    <definedName name="__shared_1_0_48">#N/A</definedName>
    <definedName name="__shared_1_0_480">#N/A</definedName>
    <definedName name="__shared_1_0_481">#N/A</definedName>
    <definedName name="__shared_1_0_482">#N/A</definedName>
    <definedName name="__shared_1_0_483">#N/A</definedName>
    <definedName name="__shared_1_0_484">#N/A</definedName>
    <definedName name="__shared_1_0_485">#N/A</definedName>
    <definedName name="__shared_1_0_486">#N/A</definedName>
    <definedName name="__shared_1_0_487">#N/A</definedName>
    <definedName name="__shared_1_0_488" localSheetId="7">#REF!</definedName>
    <definedName name="__shared_1_0_488" localSheetId="0">#REF!</definedName>
    <definedName name="__shared_1_0_488" localSheetId="2">#REF!</definedName>
    <definedName name="__shared_1_0_488">#REF!</definedName>
    <definedName name="__shared_1_0_489">#N/A</definedName>
    <definedName name="__shared_1_0_49">#N/A</definedName>
    <definedName name="__shared_1_0_490">#N/A</definedName>
    <definedName name="__shared_1_0_491">#N/A</definedName>
    <definedName name="__shared_1_0_492">#N/A</definedName>
    <definedName name="__shared_1_0_493">#N/A</definedName>
    <definedName name="__shared_1_0_494">#N/A</definedName>
    <definedName name="__shared_1_0_495">#N/A</definedName>
    <definedName name="__shared_1_0_496">#N/A</definedName>
    <definedName name="__shared_1_0_497">#N/A</definedName>
    <definedName name="__shared_1_0_498">#N/A</definedName>
    <definedName name="__shared_1_0_5">#N/A</definedName>
    <definedName name="__shared_1_0_50">#N/A</definedName>
    <definedName name="__shared_1_0_51">#N/A</definedName>
    <definedName name="__shared_1_0_52">#N/A</definedName>
    <definedName name="__shared_1_0_53">#N/A</definedName>
    <definedName name="__shared_1_0_54">#N/A</definedName>
    <definedName name="__shared_1_0_55" localSheetId="7">#REF!</definedName>
    <definedName name="__shared_1_0_55" localSheetId="0">#REF!</definedName>
    <definedName name="__shared_1_0_55" localSheetId="2">#REF!</definedName>
    <definedName name="__shared_1_0_55">#REF!</definedName>
    <definedName name="__shared_1_0_56">#N/A</definedName>
    <definedName name="__shared_1_0_57">#N/A</definedName>
    <definedName name="__shared_1_0_58">#N/A</definedName>
    <definedName name="__shared_1_0_59">#N/A</definedName>
    <definedName name="__shared_1_0_6">#N/A</definedName>
    <definedName name="__shared_1_0_60">#N/A</definedName>
    <definedName name="__shared_1_0_61">#N/A</definedName>
    <definedName name="__shared_1_0_62">#N/A</definedName>
    <definedName name="__shared_1_0_63">#N/A</definedName>
    <definedName name="__shared_1_0_64">#N/A</definedName>
    <definedName name="__shared_1_0_65">#N/A</definedName>
    <definedName name="__shared_1_0_66" localSheetId="7">#REF!</definedName>
    <definedName name="__shared_1_0_66" localSheetId="0">#REF!</definedName>
    <definedName name="__shared_1_0_66" localSheetId="2">#REF!</definedName>
    <definedName name="__shared_1_0_66">#REF!</definedName>
    <definedName name="__shared_1_0_67">#N/A</definedName>
    <definedName name="__shared_1_0_68">#N/A</definedName>
    <definedName name="__shared_1_0_69">#N/A</definedName>
    <definedName name="__shared_1_0_7">#N/A</definedName>
    <definedName name="__shared_1_0_70">#N/A</definedName>
    <definedName name="__shared_1_0_71">#N/A</definedName>
    <definedName name="__shared_1_0_72">#N/A</definedName>
    <definedName name="__shared_1_0_73">#N/A</definedName>
    <definedName name="__shared_1_0_74">#N/A</definedName>
    <definedName name="__shared_1_0_75">#N/A</definedName>
    <definedName name="__shared_1_0_76">#N/A</definedName>
    <definedName name="__shared_1_0_77">#N/A</definedName>
    <definedName name="__shared_1_0_78" localSheetId="7">#REF!</definedName>
    <definedName name="__shared_1_0_78" localSheetId="0">#REF!</definedName>
    <definedName name="__shared_1_0_78" localSheetId="2">#REF!</definedName>
    <definedName name="__shared_1_0_78">#REF!</definedName>
    <definedName name="__shared_1_0_79">#N/A</definedName>
    <definedName name="__shared_1_0_8">#N/A</definedName>
    <definedName name="__shared_1_0_80">#N/A</definedName>
    <definedName name="__shared_1_0_81">#N/A</definedName>
    <definedName name="__shared_1_0_82">#N/A</definedName>
    <definedName name="__shared_1_0_83">#N/A</definedName>
    <definedName name="__shared_1_0_84">#N/A</definedName>
    <definedName name="__shared_1_0_85">#N/A</definedName>
    <definedName name="__shared_1_0_86">#N/A</definedName>
    <definedName name="__shared_1_0_87">#N/A</definedName>
    <definedName name="__shared_1_0_88">#N/A</definedName>
    <definedName name="__shared_1_0_89">#N/A</definedName>
    <definedName name="__shared_1_0_9">#N/A</definedName>
    <definedName name="__shared_1_0_90">#N/A</definedName>
    <definedName name="__shared_1_0_91">#N/A</definedName>
    <definedName name="__shared_1_0_92" localSheetId="7">#REF!</definedName>
    <definedName name="__shared_1_0_92" localSheetId="0">#REF!</definedName>
    <definedName name="__shared_1_0_92" localSheetId="2">#REF!</definedName>
    <definedName name="__shared_1_0_92">#REF!</definedName>
    <definedName name="__shared_1_0_93">#N/A</definedName>
    <definedName name="__shared_1_0_94">#N/A</definedName>
    <definedName name="__shared_1_0_95">#N/A</definedName>
    <definedName name="__shared_1_0_96">#N/A</definedName>
    <definedName name="__shared_1_0_97">#N/A</definedName>
    <definedName name="__shared_1_0_98">#N/A</definedName>
    <definedName name="__shared_1_0_99">#N/A</definedName>
    <definedName name="__shared_2_0_0">#N/A</definedName>
    <definedName name="__shared_2_0_1">#N/A</definedName>
    <definedName name="__shared_2_0_2">#N/A</definedName>
    <definedName name="__shared_2_0_3">#N/A</definedName>
    <definedName name="__shared_2_0_4">#N/A</definedName>
    <definedName name="A" localSheetId="7">#REF!</definedName>
    <definedName name="A" localSheetId="0">#REF!</definedName>
    <definedName name="A" localSheetId="2">#REF!</definedName>
    <definedName name="A">#REF!</definedName>
    <definedName name="A_1" localSheetId="7">#REF!</definedName>
    <definedName name="A_1" localSheetId="0">#REF!</definedName>
    <definedName name="A_1" localSheetId="2">#REF!</definedName>
    <definedName name="A_1">#REF!</definedName>
    <definedName name="A_2" localSheetId="7">#REF!</definedName>
    <definedName name="A_2" localSheetId="0">#REF!</definedName>
    <definedName name="A_2" localSheetId="2">#REF!</definedName>
    <definedName name="A_2">#REF!</definedName>
    <definedName name="AA" localSheetId="7">#REF!</definedName>
    <definedName name="AA" localSheetId="0">#REF!</definedName>
    <definedName name="AA" localSheetId="2">#REF!</definedName>
    <definedName name="AA">#REF!</definedName>
    <definedName name="AAA" localSheetId="7">#REF!</definedName>
    <definedName name="AAA" localSheetId="0">#REF!</definedName>
    <definedName name="AAA" localSheetId="2">#REF!</definedName>
    <definedName name="AAA">#REF!</definedName>
    <definedName name="AAAAA" localSheetId="7">#REF!</definedName>
    <definedName name="AAAAA" localSheetId="0">#REF!</definedName>
    <definedName name="AAAAA" localSheetId="2">#REF!</definedName>
    <definedName name="AAAAA">#REF!</definedName>
    <definedName name="ACOMPANHAMENTO" hidden="1">IF(VALUE([1]MENU!$O$4)=2,"BM","PLE")</definedName>
    <definedName name="ANCORAGEM" localSheetId="7">#REF!</definedName>
    <definedName name="ANCORAGEM" localSheetId="0">#REF!</definedName>
    <definedName name="ANCORAGEM" localSheetId="2">#REF!</definedName>
    <definedName name="ANCORAGEM">#REF!</definedName>
    <definedName name="_xlnm.Print_Area" localSheetId="5">BDI!$I$1:$R$51</definedName>
    <definedName name="_xlnm.Print_Area" localSheetId="7">'COTAÇaO ADUELA'!$A$1:$J$28</definedName>
    <definedName name="_xlnm.Print_Area" localSheetId="4">CRONOG!$A$1:$I$20</definedName>
    <definedName name="_xlnm.Print_Area" localSheetId="0">'Curva ABC - Rick'!$A$1:$J$70</definedName>
    <definedName name="_xlnm.Print_Area" localSheetId="6">'Curva ABC de Insumos'!$A$1:$O$244</definedName>
    <definedName name="_xlnm.Print_Area" localSheetId="2">'Memorial de Cálculo'!$A$1:$G$83</definedName>
    <definedName name="_xlnm.Print_Area" localSheetId="3">'Orçamento Analítico'!$A$1:$J$672</definedName>
    <definedName name="B" localSheetId="7">#REF!</definedName>
    <definedName name="B" localSheetId="0">#REF!</definedName>
    <definedName name="B" localSheetId="2">#REF!</definedName>
    <definedName name="B">#REF!</definedName>
    <definedName name="B_1" localSheetId="7">#REF!</definedName>
    <definedName name="B_1" localSheetId="0">#REF!</definedName>
    <definedName name="B_1" localSheetId="2">#REF!</definedName>
    <definedName name="B_1">#REF!</definedName>
    <definedName name="B_2" localSheetId="7">#REF!</definedName>
    <definedName name="B_2" localSheetId="0">#REF!</definedName>
    <definedName name="B_2" localSheetId="2">#REF!</definedName>
    <definedName name="B_2">#REF!</definedName>
    <definedName name="BDI" localSheetId="7">[2]PREÇOS!#REF!</definedName>
    <definedName name="BDI" localSheetId="0">[2]PREÇOS!#REF!</definedName>
    <definedName name="BDI" localSheetId="2">[2]PREÇOS!#REF!</definedName>
    <definedName name="BDI">[2]PREÇOS!#REF!</definedName>
    <definedName name="BLOCOANCORAGEMNOVO" localSheetId="7">#REF!</definedName>
    <definedName name="BLOCOANCORAGEMNOVO" localSheetId="0">#REF!</definedName>
    <definedName name="BLOCOANCORAGEMNOVO" localSheetId="2">#REF!</definedName>
    <definedName name="BLOCOANCORAGEMNOVO">#REF!</definedName>
    <definedName name="Critérios_IM" localSheetId="7">#REF!</definedName>
    <definedName name="Critérios_IM" localSheetId="0">#REF!</definedName>
    <definedName name="Critérios_IM" localSheetId="2">#REF!</definedName>
    <definedName name="Critérios_IM">#REF!</definedName>
    <definedName name="Cronograma1">#N/A</definedName>
    <definedName name="custo_canal_diversos" localSheetId="7">#REF!</definedName>
    <definedName name="custo_canal_diversos" localSheetId="0">#REF!</definedName>
    <definedName name="custo_canal_diversos" localSheetId="2">#REF!</definedName>
    <definedName name="custo_canal_diversos">#REF!</definedName>
    <definedName name="custo_canal_k" localSheetId="7">#REF!</definedName>
    <definedName name="custo_canal_k" localSheetId="0">#REF!</definedName>
    <definedName name="custo_canal_k" localSheetId="2">#REF!</definedName>
    <definedName name="custo_canal_k">#REF!</definedName>
    <definedName name="custo_viario_diversos" localSheetId="7">#REF!</definedName>
    <definedName name="custo_viario_diversos" localSheetId="0">#REF!</definedName>
    <definedName name="custo_viario_diversos" localSheetId="2">#REF!</definedName>
    <definedName name="custo_viario_diversos">#REF!</definedName>
    <definedName name="custo_viario_k" localSheetId="7">#REF!</definedName>
    <definedName name="custo_viario_k" localSheetId="0">#REF!</definedName>
    <definedName name="custo_viario_k" localSheetId="2">#REF!</definedName>
    <definedName name="custo_viario_k">#REF!</definedName>
    <definedName name="D" localSheetId="7">#REF!</definedName>
    <definedName name="D" localSheetId="0">#REF!</definedName>
    <definedName name="D" localSheetId="2">#REF!</definedName>
    <definedName name="D">#REF!</definedName>
    <definedName name="E" localSheetId="7">#REF!</definedName>
    <definedName name="E" localSheetId="0">#REF!</definedName>
    <definedName name="E" localSheetId="2">#REF!</definedName>
    <definedName name="E">#REF!</definedName>
    <definedName name="ELEV" localSheetId="7">#REF!</definedName>
    <definedName name="ELEV" localSheetId="0">#REF!</definedName>
    <definedName name="ELEV" localSheetId="2">#REF!</definedName>
    <definedName name="ELEV">#REF!</definedName>
    <definedName name="Excel_BuiltIn_Criteria" localSheetId="7">#REF!</definedName>
    <definedName name="Excel_BuiltIn_Criteria" localSheetId="0">#REF!</definedName>
    <definedName name="Excel_BuiltIn_Criteria" localSheetId="2">#REF!</definedName>
    <definedName name="Excel_BuiltIn_Criteria">#REF!</definedName>
    <definedName name="F" localSheetId="7">#REF!</definedName>
    <definedName name="F" localSheetId="0">#REF!</definedName>
    <definedName name="F" localSheetId="2">#REF!</definedName>
    <definedName name="F">#REF!</definedName>
    <definedName name="Fl_01">#N/A</definedName>
    <definedName name="G" localSheetId="7">#REF!</definedName>
    <definedName name="G" localSheetId="0">#REF!</definedName>
    <definedName name="G" localSheetId="2">#REF!</definedName>
    <definedName name="G">#REF!</definedName>
    <definedName name="H" localSheetId="7">#REF!</definedName>
    <definedName name="H" localSheetId="0">#REF!</definedName>
    <definedName name="H" localSheetId="2">#REF!</definedName>
    <definedName name="H">#REF!</definedName>
    <definedName name="INDIC" localSheetId="7">#REF!</definedName>
    <definedName name="INDIC" localSheetId="0">#REF!</definedName>
    <definedName name="INDIC" localSheetId="2">#REF!</definedName>
    <definedName name="INDIC">#REF!</definedName>
    <definedName name="ÍNDICE" localSheetId="7">#REF!</definedName>
    <definedName name="ÍNDICE" localSheetId="0">#REF!</definedName>
    <definedName name="ÍNDICE" localSheetId="2">#REF!</definedName>
    <definedName name="ÍNDICE">#REF!</definedName>
    <definedName name="INFR" localSheetId="7">#REF!</definedName>
    <definedName name="INFR" localSheetId="0">#REF!</definedName>
    <definedName name="INFR" localSheetId="2">#REF!</definedName>
    <definedName name="INFR">#REF!</definedName>
    <definedName name="INFRATEC" localSheetId="7">#REF!</definedName>
    <definedName name="INFRATEC" localSheetId="0">#REF!</definedName>
    <definedName name="INFRATEC" localSheetId="2">#REF!</definedName>
    <definedName name="INFRATEC">#REF!</definedName>
    <definedName name="INFRETÉCNICA" localSheetId="7">[2]PREÇOS!#REF!</definedName>
    <definedName name="INFRETÉCNICA" localSheetId="0">[2]PREÇOS!#REF!</definedName>
    <definedName name="INFRETÉCNICA" localSheetId="2">[2]PREÇOS!#REF!</definedName>
    <definedName name="INFRETÉCNICA">[2]PREÇOS!#REF!</definedName>
    <definedName name="JR_PAGE_ANCHOR_0_1" localSheetId="0">#REF!</definedName>
    <definedName name="JR_PAGE_ANCHOR_0_1">#REF!</definedName>
    <definedName name="kkkkkkkkkk" localSheetId="7">#REF!</definedName>
    <definedName name="kkkkkkkkkk" localSheetId="0">#REF!</definedName>
    <definedName name="kkkkkkkkkk" localSheetId="2">#REF!</definedName>
    <definedName name="kkkkkkkkkk">#REF!</definedName>
    <definedName name="MÊS" localSheetId="7">#REF!</definedName>
    <definedName name="MÊS" localSheetId="0">#REF!</definedName>
    <definedName name="MÊS" localSheetId="2">#REF!</definedName>
    <definedName name="MÊS">#REF!</definedName>
    <definedName name="pla">#N/A</definedName>
    <definedName name="PLAN" localSheetId="7">#REF!</definedName>
    <definedName name="PLAN" localSheetId="0">#REF!</definedName>
    <definedName name="PLAN" localSheetId="2">#REF!</definedName>
    <definedName name="PLAN">#REF!</definedName>
    <definedName name="planilha">#N/A</definedName>
    <definedName name="Print_Area_MI" localSheetId="7">#REF!</definedName>
    <definedName name="Print_Area_MI" localSheetId="0">#REF!</definedName>
    <definedName name="Print_Area_MI" localSheetId="2">#REF!</definedName>
    <definedName name="Print_Area_MI">#REF!</definedName>
    <definedName name="qw" localSheetId="0">#REF!</definedName>
    <definedName name="qw">#REF!</definedName>
    <definedName name="SHARED_FORMULA_10_144_10_144_0" localSheetId="7">#REF!</definedName>
    <definedName name="SHARED_FORMULA_10_144_10_144_0" localSheetId="0">#REF!</definedName>
    <definedName name="SHARED_FORMULA_10_144_10_144_0" localSheetId="2">#REF!</definedName>
    <definedName name="SHARED_FORMULA_10_144_10_144_0">#REF!</definedName>
    <definedName name="SHARED_FORMULA_10_176_10_176_0" localSheetId="7">#REF!</definedName>
    <definedName name="SHARED_FORMULA_10_176_10_176_0" localSheetId="0">#REF!</definedName>
    <definedName name="SHARED_FORMULA_10_176_10_176_0" localSheetId="2">#REF!</definedName>
    <definedName name="SHARED_FORMULA_10_176_10_176_0">#REF!</definedName>
    <definedName name="SHARED_FORMULA_11_144_11_144_0" localSheetId="7">#REF!*#REF!</definedName>
    <definedName name="SHARED_FORMULA_11_144_11_144_0" localSheetId="0">#REF!*#REF!</definedName>
    <definedName name="SHARED_FORMULA_11_144_11_144_0" localSheetId="2">#REF!*#REF!</definedName>
    <definedName name="SHARED_FORMULA_11_144_11_144_0">#REF!*#REF!</definedName>
    <definedName name="SHARED_FORMULA_11_176_11_176_0" localSheetId="7">#REF!*#REF!</definedName>
    <definedName name="SHARED_FORMULA_11_176_11_176_0" localSheetId="0">#REF!*#REF!</definedName>
    <definedName name="SHARED_FORMULA_11_176_11_176_0" localSheetId="2">#REF!*#REF!</definedName>
    <definedName name="SHARED_FORMULA_11_176_11_176_0">#REF!*#REF!</definedName>
    <definedName name="SHARED_FORMULA_12_144_12_144_0" localSheetId="7">#REF!*#REF!</definedName>
    <definedName name="SHARED_FORMULA_12_144_12_144_0" localSheetId="0">#REF!*#REF!</definedName>
    <definedName name="SHARED_FORMULA_12_144_12_144_0" localSheetId="2">#REF!*#REF!</definedName>
    <definedName name="SHARED_FORMULA_12_144_12_144_0">#REF!*#REF!</definedName>
    <definedName name="SHARED_FORMULA_12_176_12_176_0" localSheetId="7">#REF!*#REF!</definedName>
    <definedName name="SHARED_FORMULA_12_176_12_176_0" localSheetId="0">#REF!*#REF!</definedName>
    <definedName name="SHARED_FORMULA_12_176_12_176_0" localSheetId="2">#REF!*#REF!</definedName>
    <definedName name="SHARED_FORMULA_12_176_12_176_0">#REF!*#REF!</definedName>
    <definedName name="SHARED_FORMULA_13_144_13_144_0" localSheetId="7">#REF!*#REF!</definedName>
    <definedName name="SHARED_FORMULA_13_144_13_144_0" localSheetId="0">#REF!*#REF!</definedName>
    <definedName name="SHARED_FORMULA_13_144_13_144_0" localSheetId="2">#REF!*#REF!</definedName>
    <definedName name="SHARED_FORMULA_13_144_13_144_0">#REF!*#REF!</definedName>
    <definedName name="SHARED_FORMULA_13_176_13_176_0" localSheetId="7">#REF!*#REF!</definedName>
    <definedName name="SHARED_FORMULA_13_176_13_176_0" localSheetId="0">#REF!*#REF!</definedName>
    <definedName name="SHARED_FORMULA_13_176_13_176_0" localSheetId="2">#REF!*#REF!</definedName>
    <definedName name="SHARED_FORMULA_13_176_13_176_0">#REF!*#REF!</definedName>
    <definedName name="SHARED_FORMULA_14_144_14_144_0" localSheetId="7">#REF!*#REF!</definedName>
    <definedName name="SHARED_FORMULA_14_144_14_144_0" localSheetId="0">#REF!*#REF!</definedName>
    <definedName name="SHARED_FORMULA_14_144_14_144_0" localSheetId="2">#REF!*#REF!</definedName>
    <definedName name="SHARED_FORMULA_14_144_14_144_0">#REF!*#REF!</definedName>
    <definedName name="SHARED_FORMULA_14_176_14_176_0" localSheetId="7">#REF!*#REF!</definedName>
    <definedName name="SHARED_FORMULA_14_176_14_176_0" localSheetId="0">#REF!*#REF!</definedName>
    <definedName name="SHARED_FORMULA_14_176_14_176_0" localSheetId="2">#REF!*#REF!</definedName>
    <definedName name="SHARED_FORMULA_14_176_14_176_0">#REF!*#REF!</definedName>
    <definedName name="SHARED_FORMULA_15_144_15_144_0" localSheetId="7">(((#REF!+#REF!+#REF!)*(1+#REF!))*(1+#REF!))</definedName>
    <definedName name="SHARED_FORMULA_15_144_15_144_0" localSheetId="0">(((#REF!+#REF!+#REF!)*(1+#REF!))*(1+#REF!))</definedName>
    <definedName name="SHARED_FORMULA_15_144_15_144_0" localSheetId="2">(((#REF!+#REF!+#REF!)*(1+#REF!))*(1+#REF!))</definedName>
    <definedName name="SHARED_FORMULA_15_144_15_144_0">(((#REF!+#REF!+#REF!)*(1+#REF!))*(1+#REF!))</definedName>
    <definedName name="SHARED_FORMULA_15_176_15_176_0" localSheetId="7">(((#REF!+#REF!+#REF!)*(1+#REF!))*(1+#REF!))</definedName>
    <definedName name="SHARED_FORMULA_15_176_15_176_0" localSheetId="0">(((#REF!+#REF!+#REF!)*(1+#REF!))*(1+#REF!))</definedName>
    <definedName name="SHARED_FORMULA_15_176_15_176_0" localSheetId="2">(((#REF!+#REF!+#REF!)*(1+#REF!))*(1+#REF!))</definedName>
    <definedName name="SHARED_FORMULA_15_176_15_176_0">(((#REF!+#REF!+#REF!)*(1+#REF!))*(1+#REF!))</definedName>
    <definedName name="SHARED_FORMULA_16_144_16_144_0" localSheetId="7">(((#REF!+#REF!+#REF!)*(1+#REF!))*(1+#REF!))</definedName>
    <definedName name="SHARED_FORMULA_16_144_16_144_0" localSheetId="0">(((#REF!+#REF!+#REF!)*(1+#REF!))*(1+#REF!))</definedName>
    <definedName name="SHARED_FORMULA_16_144_16_144_0" localSheetId="2">(((#REF!+#REF!+#REF!)*(1+#REF!))*(1+#REF!))</definedName>
    <definedName name="SHARED_FORMULA_16_144_16_144_0">(((#REF!+#REF!+#REF!)*(1+#REF!))*(1+#REF!))</definedName>
    <definedName name="SHARED_FORMULA_16_176_16_176_0" localSheetId="7">(((#REF!+#REF!+#REF!)*(1+#REF!))*(1+#REF!))</definedName>
    <definedName name="SHARED_FORMULA_16_176_16_176_0" localSheetId="0">(((#REF!+#REF!+#REF!)*(1+#REF!))*(1+#REF!))</definedName>
    <definedName name="SHARED_FORMULA_16_176_16_176_0" localSheetId="2">(((#REF!+#REF!+#REF!)*(1+#REF!))*(1+#REF!))</definedName>
    <definedName name="SHARED_FORMULA_16_176_16_176_0">(((#REF!+#REF!+#REF!)*(1+#REF!))*(1+#REF!))</definedName>
    <definedName name="SHARED_FORMULA_17_144_17_144_0" localSheetId="7">#REF!+#REF!</definedName>
    <definedName name="SHARED_FORMULA_17_144_17_144_0" localSheetId="0">#REF!+#REF!</definedName>
    <definedName name="SHARED_FORMULA_17_144_17_144_0" localSheetId="2">#REF!+#REF!</definedName>
    <definedName name="SHARED_FORMULA_17_144_17_144_0">#REF!+#REF!</definedName>
    <definedName name="SHARED_FORMULA_17_176_17_176_0" localSheetId="7">#REF!+#REF!</definedName>
    <definedName name="SHARED_FORMULA_17_176_17_176_0" localSheetId="0">#REF!+#REF!</definedName>
    <definedName name="SHARED_FORMULA_17_176_17_176_0" localSheetId="2">#REF!+#REF!</definedName>
    <definedName name="SHARED_FORMULA_17_176_17_176_0">#REF!+#REF!</definedName>
    <definedName name="SHARED_FORMULA_18_144_18_144_0" localSheetId="7">#REF!*#REF!</definedName>
    <definedName name="SHARED_FORMULA_18_144_18_144_0" localSheetId="0">#REF!*#REF!</definedName>
    <definedName name="SHARED_FORMULA_18_144_18_144_0" localSheetId="2">#REF!*#REF!</definedName>
    <definedName name="SHARED_FORMULA_18_144_18_144_0">#REF!*#REF!</definedName>
    <definedName name="SHARED_FORMULA_18_176_18_176_0" localSheetId="7">#REF!*#REF!</definedName>
    <definedName name="SHARED_FORMULA_18_176_18_176_0" localSheetId="0">#REF!*#REF!</definedName>
    <definedName name="SHARED_FORMULA_18_176_18_176_0" localSheetId="2">#REF!*#REF!</definedName>
    <definedName name="SHARED_FORMULA_18_176_18_176_0">#REF!*#REF!</definedName>
    <definedName name="SHARED_FORMULA_19_145_19_145_0" localSheetId="7">#REF!*#REF!</definedName>
    <definedName name="SHARED_FORMULA_19_145_19_145_0" localSheetId="0">#REF!*#REF!</definedName>
    <definedName name="SHARED_FORMULA_19_145_19_145_0" localSheetId="2">#REF!*#REF!</definedName>
    <definedName name="SHARED_FORMULA_19_145_19_145_0">#REF!*#REF!</definedName>
    <definedName name="SHARED_FORMULA_19_177_19_177_0" localSheetId="7">#REF!*#REF!</definedName>
    <definedName name="SHARED_FORMULA_19_177_19_177_0" localSheetId="0">#REF!*#REF!</definedName>
    <definedName name="SHARED_FORMULA_19_177_19_177_0" localSheetId="2">#REF!*#REF!</definedName>
    <definedName name="SHARED_FORMULA_19_177_19_177_0">#REF!*#REF!</definedName>
    <definedName name="SHARED_FORMULA_20_145_20_145_0" localSheetId="7">#REF!+#REF!</definedName>
    <definedName name="SHARED_FORMULA_20_145_20_145_0" localSheetId="0">#REF!+#REF!</definedName>
    <definedName name="SHARED_FORMULA_20_145_20_145_0" localSheetId="2">#REF!+#REF!</definedName>
    <definedName name="SHARED_FORMULA_20_145_20_145_0">#REF!+#REF!</definedName>
    <definedName name="SHARED_FORMULA_20_177_20_177_0" localSheetId="7">#REF!+#REF!</definedName>
    <definedName name="SHARED_FORMULA_20_177_20_177_0" localSheetId="0">#REF!+#REF!</definedName>
    <definedName name="SHARED_FORMULA_20_177_20_177_0" localSheetId="2">#REF!+#REF!</definedName>
    <definedName name="SHARED_FORMULA_20_177_20_177_0">#REF!+#REF!</definedName>
    <definedName name="SHARED_FORMULA_29_145_29_145_0" localSheetId="7">UPPER(#REF!)</definedName>
    <definedName name="SHARED_FORMULA_29_145_29_145_0" localSheetId="0">UPPER(#REF!)</definedName>
    <definedName name="SHARED_FORMULA_29_145_29_145_0" localSheetId="2">UPPER(#REF!)</definedName>
    <definedName name="SHARED_FORMULA_29_145_29_145_0">UPPER(#REF!)</definedName>
    <definedName name="SHARED_FORMULA_29_177_29_177_0" localSheetId="7">UPPER(#REF!)</definedName>
    <definedName name="SHARED_FORMULA_29_177_29_177_0" localSheetId="0">UPPER(#REF!)</definedName>
    <definedName name="SHARED_FORMULA_29_177_29_177_0" localSheetId="2">UPPER(#REF!)</definedName>
    <definedName name="SHARED_FORMULA_29_177_29_177_0">UPPER(#REF!)</definedName>
    <definedName name="SHARED_FORMULA_6_103_6_103_3" localSheetId="7">SUM(#REF!)</definedName>
    <definedName name="SHARED_FORMULA_6_103_6_103_3" localSheetId="0">SUM(#REF!)</definedName>
    <definedName name="SHARED_FORMULA_6_103_6_103_3" localSheetId="2">SUM(#REF!)</definedName>
    <definedName name="SHARED_FORMULA_6_103_6_103_3">SUM(#REF!)</definedName>
    <definedName name="SHARED_FORMULA_6_124_6_124_3" localSheetId="7">SUM(#REF!)</definedName>
    <definedName name="SHARED_FORMULA_6_124_6_124_3" localSheetId="0">SUM(#REF!)</definedName>
    <definedName name="SHARED_FORMULA_6_124_6_124_3" localSheetId="2">SUM(#REF!)</definedName>
    <definedName name="SHARED_FORMULA_6_124_6_124_3">SUM(#REF!)</definedName>
    <definedName name="SHARED_FORMULA_6_134_6_134_3" localSheetId="7">SUM(#REF!)</definedName>
    <definedName name="SHARED_FORMULA_6_134_6_134_3" localSheetId="0">SUM(#REF!)</definedName>
    <definedName name="SHARED_FORMULA_6_134_6_134_3" localSheetId="2">SUM(#REF!)</definedName>
    <definedName name="SHARED_FORMULA_6_134_6_134_3">SUM(#REF!)</definedName>
    <definedName name="SHARED_FORMULA_6_152_6_152_3" localSheetId="7">SUM(#REF!)</definedName>
    <definedName name="SHARED_FORMULA_6_152_6_152_3" localSheetId="0">SUM(#REF!)</definedName>
    <definedName name="SHARED_FORMULA_6_152_6_152_3" localSheetId="2">SUM(#REF!)</definedName>
    <definedName name="SHARED_FORMULA_6_152_6_152_3">SUM(#REF!)</definedName>
    <definedName name="SHARED_FORMULA_6_162_6_162_3" localSheetId="7">SUM(#REF!)</definedName>
    <definedName name="SHARED_FORMULA_6_162_6_162_3" localSheetId="0">SUM(#REF!)</definedName>
    <definedName name="SHARED_FORMULA_6_162_6_162_3" localSheetId="2">SUM(#REF!)</definedName>
    <definedName name="SHARED_FORMULA_6_162_6_162_3">SUM(#REF!)</definedName>
    <definedName name="SHARED_FORMULA_6_176_6_176_3" localSheetId="7">SUM(#REF!)</definedName>
    <definedName name="SHARED_FORMULA_6_176_6_176_3" localSheetId="0">SUM(#REF!)</definedName>
    <definedName name="SHARED_FORMULA_6_176_6_176_3" localSheetId="2">SUM(#REF!)</definedName>
    <definedName name="SHARED_FORMULA_6_176_6_176_3">SUM(#REF!)</definedName>
    <definedName name="SHARED_FORMULA_6_20_6_20_3" localSheetId="7">SUM(#REF!)</definedName>
    <definedName name="SHARED_FORMULA_6_20_6_20_3" localSheetId="0">SUM(#REF!)</definedName>
    <definedName name="SHARED_FORMULA_6_20_6_20_3" localSheetId="2">SUM(#REF!)</definedName>
    <definedName name="SHARED_FORMULA_6_20_6_20_3">SUM(#REF!)</definedName>
    <definedName name="SHARED_FORMULA_6_44_6_44_3" localSheetId="7">SUM(#REF!)</definedName>
    <definedName name="SHARED_FORMULA_6_44_6_44_3" localSheetId="0">SUM(#REF!)</definedName>
    <definedName name="SHARED_FORMULA_6_44_6_44_3" localSheetId="2">SUM(#REF!)</definedName>
    <definedName name="SHARED_FORMULA_6_44_6_44_3">SUM(#REF!)</definedName>
    <definedName name="SHARED_FORMULA_6_60_6_60_3" localSheetId="7">SUM(#REF!)</definedName>
    <definedName name="SHARED_FORMULA_6_60_6_60_3" localSheetId="0">SUM(#REF!)</definedName>
    <definedName name="SHARED_FORMULA_6_60_6_60_3" localSheetId="2">SUM(#REF!)</definedName>
    <definedName name="SHARED_FORMULA_6_60_6_60_3">SUM(#REF!)</definedName>
    <definedName name="SHARED_FORMULA_6_69_6_69_3" localSheetId="7">SUM(#REF!)</definedName>
    <definedName name="SHARED_FORMULA_6_69_6_69_3" localSheetId="0">SUM(#REF!)</definedName>
    <definedName name="SHARED_FORMULA_6_69_6_69_3" localSheetId="2">SUM(#REF!)</definedName>
    <definedName name="SHARED_FORMULA_6_69_6_69_3">SUM(#REF!)</definedName>
    <definedName name="SHARED_FORMULA_6_80_6_80_3" localSheetId="7">SUM(#REF!)</definedName>
    <definedName name="SHARED_FORMULA_6_80_6_80_3" localSheetId="0">SUM(#REF!)</definedName>
    <definedName name="SHARED_FORMULA_6_80_6_80_3" localSheetId="2">SUM(#REF!)</definedName>
    <definedName name="SHARED_FORMULA_6_80_6_80_3">SUM(#REF!)</definedName>
    <definedName name="SHARED_FORMULA_6_95_6_95_3" localSheetId="7">SUM(#REF!)</definedName>
    <definedName name="SHARED_FORMULA_6_95_6_95_3" localSheetId="0">SUM(#REF!)</definedName>
    <definedName name="SHARED_FORMULA_6_95_6_95_3" localSheetId="2">SUM(#REF!)</definedName>
    <definedName name="SHARED_FORMULA_6_95_6_95_3">SUM(#REF!)</definedName>
    <definedName name="sqsa" localSheetId="7">#REF!</definedName>
    <definedName name="sqsa" localSheetId="0">#REF!</definedName>
    <definedName name="sqsa" localSheetId="2">#REF!</definedName>
    <definedName name="sqsa">#REF!</definedName>
    <definedName name="tbjan01" localSheetId="7">#REF!</definedName>
    <definedName name="tbjan01" localSheetId="0">#REF!</definedName>
    <definedName name="tbjan01" localSheetId="2">#REF!</definedName>
    <definedName name="tbjan01">#REF!</definedName>
    <definedName name="TBJUL01" localSheetId="7">#REF!</definedName>
    <definedName name="TBJUL01" localSheetId="0">#REF!</definedName>
    <definedName name="TBJUL01" localSheetId="2">#REF!</definedName>
    <definedName name="TBJUL01">#REF!</definedName>
    <definedName name="TESTE" localSheetId="7">#REF!</definedName>
    <definedName name="TESTE" localSheetId="0">#REF!</definedName>
    <definedName name="TESTE" localSheetId="2">#REF!</definedName>
    <definedName name="TESTE">#REF!</definedName>
    <definedName name="_xlnm.Print_Titles" localSheetId="0">'Curva ABC - Rick'!$7:$8</definedName>
    <definedName name="_xlnm.Print_Titles" localSheetId="1">'Planilha sintetica'!$7:$8</definedName>
    <definedName name="TRAVESSIA" localSheetId="7">#REF!</definedName>
    <definedName name="TRAVESSIA" localSheetId="0">#REF!</definedName>
    <definedName name="TRAVESSIA" localSheetId="2">#REF!</definedName>
    <definedName name="TRAVESSIA">#REF!</definedName>
    <definedName name="VENDA_CANAL_DIVERSOS" localSheetId="7">#REF!</definedName>
    <definedName name="VENDA_CANAL_DIVERSOS" localSheetId="0">#REF!</definedName>
    <definedName name="VENDA_CANAL_DIVERSOS" localSheetId="2">#REF!</definedName>
    <definedName name="VENDA_CANAL_DIVERSOS">#REF!</definedName>
    <definedName name="VENDA_CANAL_K" localSheetId="7">#REF!</definedName>
    <definedName name="VENDA_CANAL_K" localSheetId="0">#REF!</definedName>
    <definedName name="VENDA_CANAL_K" localSheetId="2">#REF!</definedName>
    <definedName name="VENDA_CANAL_K">#REF!</definedName>
    <definedName name="VENDA_CANAL_PI_R" localSheetId="7">#REF!</definedName>
    <definedName name="VENDA_CANAL_PI_R" localSheetId="0">#REF!</definedName>
    <definedName name="VENDA_CANAL_PI_R" localSheetId="2">#REF!</definedName>
    <definedName name="VENDA_CANAL_PI_R">#REF!</definedName>
    <definedName name="VENDA_VIARIO_DIVERSOS" localSheetId="7">#REF!</definedName>
    <definedName name="VENDA_VIARIO_DIVERSOS" localSheetId="0">#REF!</definedName>
    <definedName name="VENDA_VIARIO_DIVERSOS" localSheetId="2">#REF!</definedName>
    <definedName name="VENDA_VIARIO_DIVERSOS">#REF!</definedName>
    <definedName name="VENDA_VIARIO_K" localSheetId="7">#REF!</definedName>
    <definedName name="VENDA_VIARIO_K" localSheetId="0">#REF!</definedName>
    <definedName name="VENDA_VIARIO_K" localSheetId="2">#REF!</definedName>
    <definedName name="VENDA_VIARIO_K">#REF!</definedName>
    <definedName name="VENDA_VIARIO_PI_R" localSheetId="7">#REF!</definedName>
    <definedName name="VENDA_VIARIO_PI_R" localSheetId="0">#REF!</definedName>
    <definedName name="VENDA_VIARIO_PI_R" localSheetId="2">#REF!</definedName>
    <definedName name="VENDA_VIARIO_PI_R">#REF!</definedName>
    <definedName name="X_1" localSheetId="7">#REF!</definedName>
    <definedName name="X_1" localSheetId="0">#REF!</definedName>
    <definedName name="X_1" localSheetId="2">#REF!</definedName>
    <definedName name="X_1">#REF!</definedName>
    <definedName name="X_2" localSheetId="7">#REF!</definedName>
    <definedName name="X_2" localSheetId="0">#REF!</definedName>
    <definedName name="X_2" localSheetId="2">#REF!</definedName>
    <definedName name="X_2">#REF!</definedName>
    <definedName name="X_3" localSheetId="7">#REF!</definedName>
    <definedName name="X_3" localSheetId="0">#REF!</definedName>
    <definedName name="X_3" localSheetId="2">#REF!</definedName>
    <definedName name="X_3">#REF!</definedName>
    <definedName name="X_4" localSheetId="7">#REF!</definedName>
    <definedName name="X_4" localSheetId="0">#REF!</definedName>
    <definedName name="X_4" localSheetId="2">#REF!</definedName>
    <definedName name="X_4">#REF!</definedName>
    <definedName name="X_INT" localSheetId="7">#REF!</definedName>
    <definedName name="X_INT" localSheetId="0">#REF!</definedName>
    <definedName name="X_INT" localSheetId="2">#REF!</definedName>
    <definedName name="X_INT">#REF!</definedName>
    <definedName name="Y_1" localSheetId="7">#REF!</definedName>
    <definedName name="Y_1" localSheetId="0">#REF!</definedName>
    <definedName name="Y_1" localSheetId="2">#REF!</definedName>
    <definedName name="Y_1">#REF!</definedName>
    <definedName name="Y_2" localSheetId="7">#REF!</definedName>
    <definedName name="Y_2" localSheetId="0">#REF!</definedName>
    <definedName name="Y_2" localSheetId="2">#REF!</definedName>
    <definedName name="Y_2">#REF!</definedName>
    <definedName name="Y_3" localSheetId="7">#REF!</definedName>
    <definedName name="Y_3" localSheetId="0">#REF!</definedName>
    <definedName name="Y_3" localSheetId="2">#REF!</definedName>
    <definedName name="Y_3">#REF!</definedName>
    <definedName name="Y_4" localSheetId="7">#REF!</definedName>
    <definedName name="Y_4" localSheetId="0">#REF!</definedName>
    <definedName name="Y_4" localSheetId="2">#REF!</definedName>
    <definedName name="Y_4">#REF!</definedName>
  </definedNames>
  <calcPr calcId="144525"/>
</workbook>
</file>

<file path=xl/calcChain.xml><?xml version="1.0" encoding="utf-8"?>
<calcChain xmlns="http://schemas.openxmlformats.org/spreadsheetml/2006/main">
  <c r="F33" i="15" l="1"/>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F10" i="15" l="1"/>
  <c r="A6" i="16"/>
  <c r="A7" i="16"/>
  <c r="A8" i="16"/>
  <c r="A9" i="16"/>
  <c r="A5" i="16"/>
  <c r="J28" i="16"/>
  <c r="G28" i="16"/>
  <c r="I28" i="16" s="1"/>
  <c r="E28" i="16"/>
  <c r="J27" i="16"/>
  <c r="G27" i="16"/>
  <c r="I27" i="16" s="1"/>
  <c r="E27" i="16"/>
  <c r="F22" i="15" l="1"/>
  <c r="A2" i="15" l="1"/>
  <c r="A1" i="15"/>
  <c r="F57" i="15" l="1"/>
  <c r="F71" i="15"/>
  <c r="F72" i="15"/>
  <c r="F49" i="15" l="1"/>
  <c r="F48" i="15"/>
  <c r="F47" i="15"/>
  <c r="F46" i="15"/>
  <c r="F17" i="15" l="1"/>
  <c r="F16" i="15"/>
  <c r="F15" i="15"/>
  <c r="F80" i="15"/>
  <c r="F79" i="15"/>
  <c r="F77" i="15"/>
  <c r="F76" i="15"/>
  <c r="F75" i="15"/>
  <c r="F74" i="15"/>
  <c r="F70" i="15"/>
  <c r="F69" i="15"/>
  <c r="F68" i="15"/>
  <c r="F67" i="15"/>
  <c r="F66" i="15"/>
  <c r="F65" i="15"/>
  <c r="F62" i="15"/>
  <c r="F61" i="15"/>
  <c r="F60" i="15"/>
  <c r="F59" i="15"/>
  <c r="F58" i="15"/>
  <c r="F56" i="15"/>
  <c r="F55" i="15"/>
  <c r="F54" i="15"/>
  <c r="F53" i="15"/>
  <c r="F52" i="15"/>
  <c r="F51" i="15"/>
  <c r="F42" i="15"/>
  <c r="F41" i="15"/>
  <c r="F40" i="15"/>
  <c r="G35" i="15"/>
  <c r="G34" i="15"/>
  <c r="F34" i="15"/>
  <c r="F31" i="15"/>
  <c r="F30" i="15"/>
  <c r="F25" i="15"/>
  <c r="F19" i="15"/>
  <c r="F27" i="15"/>
  <c r="F26" i="15"/>
  <c r="F36" i="15" l="1"/>
  <c r="F37" i="15" s="1"/>
  <c r="F35" i="15"/>
  <c r="F20" i="15"/>
  <c r="F13" i="15"/>
  <c r="N24" i="8"/>
  <c r="A2" i="4" l="1"/>
  <c r="A1" i="4"/>
  <c r="C2" i="6" l="1"/>
  <c r="C1" i="6"/>
  <c r="A1" i="5" l="1"/>
  <c r="A2" i="5"/>
  <c r="I8" i="8" l="1"/>
  <c r="C2" i="8" l="1"/>
  <c r="A3" i="8"/>
  <c r="A4" i="8" s="1"/>
  <c r="I50" i="8"/>
  <c r="I49" i="8"/>
  <c r="J48" i="8"/>
  <c r="A45" i="8"/>
  <c r="A46" i="8" s="1"/>
  <c r="C44" i="8"/>
  <c r="A39" i="8"/>
  <c r="A40" i="8" s="1"/>
  <c r="C38" i="8"/>
  <c r="I35" i="8"/>
  <c r="M32" i="8"/>
  <c r="I29" i="8"/>
  <c r="A28" i="8"/>
  <c r="A29" i="8" s="1"/>
  <c r="A32" i="8" s="1"/>
  <c r="C27" i="8"/>
  <c r="N26" i="8"/>
  <c r="M22" i="8"/>
  <c r="I22" i="8"/>
  <c r="C22" i="8"/>
  <c r="A22" i="8"/>
  <c r="A23" i="8" s="1"/>
  <c r="M21" i="8"/>
  <c r="I21" i="8"/>
  <c r="C21" i="8"/>
  <c r="M20" i="8"/>
  <c r="I20" i="8"/>
  <c r="M19" i="8"/>
  <c r="I19" i="8"/>
  <c r="M18" i="8"/>
  <c r="I18" i="8"/>
  <c r="A15" i="8"/>
  <c r="A17" i="8" s="1"/>
  <c r="C14" i="8"/>
  <c r="C13" i="8"/>
  <c r="C12" i="8"/>
  <c r="Q11" i="8"/>
  <c r="I37" i="8" s="1"/>
  <c r="C11" i="8"/>
  <c r="C10" i="8"/>
  <c r="C9" i="8"/>
  <c r="C8" i="8"/>
  <c r="C3" i="8" l="1"/>
  <c r="C4" i="8"/>
  <c r="A5" i="8"/>
  <c r="C5" i="8" s="1"/>
  <c r="C15" i="8"/>
  <c r="C39" i="8"/>
  <c r="C28" i="8"/>
  <c r="C17" i="8"/>
  <c r="A18" i="8"/>
  <c r="C23" i="8"/>
  <c r="A24" i="8"/>
  <c r="A33" i="8"/>
  <c r="C32" i="8"/>
  <c r="A41" i="8"/>
  <c r="C40" i="8"/>
  <c r="C46" i="8"/>
  <c r="A47" i="8"/>
  <c r="N25" i="8"/>
  <c r="C29" i="8"/>
  <c r="L32" i="8"/>
  <c r="M33" i="8"/>
  <c r="C45" i="8"/>
  <c r="A6" i="8" l="1"/>
  <c r="C6" i="8" s="1"/>
  <c r="N27" i="8"/>
  <c r="E2" i="18" s="1"/>
  <c r="O25" i="8"/>
  <c r="A34" i="8"/>
  <c r="C34" i="8" s="1"/>
  <c r="C33" i="8"/>
  <c r="A19" i="8"/>
  <c r="C18" i="8"/>
  <c r="A48" i="8"/>
  <c r="C47" i="8"/>
  <c r="A25" i="8"/>
  <c r="C24" i="8"/>
  <c r="A42" i="8"/>
  <c r="C41" i="8"/>
  <c r="G2" i="12" l="1"/>
  <c r="G2" i="15"/>
  <c r="G2" i="4"/>
  <c r="E2" i="6"/>
  <c r="A7" i="8"/>
  <c r="C7" i="8" s="1"/>
  <c r="R26" i="8" s="1"/>
  <c r="C42" i="8"/>
  <c r="A43" i="8"/>
  <c r="C43" i="8" s="1"/>
  <c r="A49" i="8"/>
  <c r="C49" i="8" s="1"/>
  <c r="C48" i="8"/>
  <c r="A26" i="8"/>
  <c r="C26" i="8" s="1"/>
  <c r="C25" i="8"/>
  <c r="Q20" i="8" s="1"/>
  <c r="A20" i="8"/>
  <c r="C20" i="8" s="1"/>
  <c r="C19" i="8"/>
  <c r="Q26" i="8" l="1"/>
  <c r="P22" i="8"/>
  <c r="R18" i="8"/>
  <c r="P20" i="8"/>
  <c r="Q19" i="8"/>
  <c r="R20" i="8"/>
  <c r="R21" i="8"/>
  <c r="R22" i="8"/>
  <c r="P21" i="8"/>
  <c r="Q18" i="8"/>
  <c r="P18" i="8"/>
  <c r="Q21" i="8"/>
  <c r="P26" i="8"/>
  <c r="O26" i="8" s="1"/>
  <c r="P19" i="8"/>
  <c r="R19" i="8"/>
  <c r="Q22" i="8"/>
  <c r="V27" i="8" l="1"/>
  <c r="T16" i="8" s="1"/>
  <c r="O27" i="8"/>
</calcChain>
</file>

<file path=xl/sharedStrings.xml><?xml version="1.0" encoding="utf-8"?>
<sst xmlns="http://schemas.openxmlformats.org/spreadsheetml/2006/main" count="7180" uniqueCount="1995">
  <si>
    <t>Item</t>
  </si>
  <si>
    <t>Descrição</t>
  </si>
  <si>
    <t>Und</t>
  </si>
  <si>
    <t>Quant.</t>
  </si>
  <si>
    <t xml:space="preserve"> 1 </t>
  </si>
  <si>
    <t xml:space="preserve"> 1.1 </t>
  </si>
  <si>
    <t>m²</t>
  </si>
  <si>
    <t xml:space="preserve"> 2 </t>
  </si>
  <si>
    <t xml:space="preserve"> 2.1 </t>
  </si>
  <si>
    <t xml:space="preserve"> 2.2 </t>
  </si>
  <si>
    <t xml:space="preserve"> 3 </t>
  </si>
  <si>
    <t xml:space="preserve"> 3.1 </t>
  </si>
  <si>
    <t xml:space="preserve"> 3.2 </t>
  </si>
  <si>
    <t>m³</t>
  </si>
  <si>
    <t xml:space="preserve"> 4 </t>
  </si>
  <si>
    <t xml:space="preserve"> 4.1 </t>
  </si>
  <si>
    <t>Armadura em barra de aço CA-50 (A ou B) fyk = 500 MPa</t>
  </si>
  <si>
    <t xml:space="preserve"> 4.2 </t>
  </si>
  <si>
    <t>UN</t>
  </si>
  <si>
    <t>M</t>
  </si>
  <si>
    <t>Armadura em tela soldada de aço</t>
  </si>
  <si>
    <t>SERVIÇOS COMPLEMENTARES</t>
  </si>
  <si>
    <t>Limpeza final da obra</t>
  </si>
  <si>
    <t>B.D.I.</t>
  </si>
  <si>
    <t>Encargos Sociais</t>
  </si>
  <si>
    <t>Desonerado: embutido nos preços unitário dos insumos de mão de obra, de acordo com as bases.</t>
  </si>
  <si>
    <t>Planilha Orçamentária Sintética</t>
  </si>
  <si>
    <t/>
  </si>
  <si>
    <t>KG</t>
  </si>
  <si>
    <t>Planilha Orçamentária Analítica</t>
  </si>
  <si>
    <t>L</t>
  </si>
  <si>
    <t>Curva ABC de Insumos</t>
  </si>
  <si>
    <t>Construção de Praças Urbanas, Rodovias, Ferrovias e recapeamento e pavimentação de vias urbanas</t>
  </si>
  <si>
    <t>AC</t>
  </si>
  <si>
    <t>SG</t>
  </si>
  <si>
    <t>R</t>
  </si>
  <si>
    <t>TIPO DE OBRA DO EMPREENDIMENTO</t>
  </si>
  <si>
    <t>DESONERAÇÃO</t>
  </si>
  <si>
    <t>DF</t>
  </si>
  <si>
    <t>Construção de Redes de Abastecimento de Água, Coleta de Esgoto</t>
  </si>
  <si>
    <t>BDI PAD</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</si>
  <si>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</si>
  <si>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</si>
  <si>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</si>
  <si>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</si>
  <si>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</si>
  <si>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</si>
  <si>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</si>
  <si>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</si>
  <si>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</si>
  <si>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</si>
  <si>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</si>
  <si>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</si>
  <si>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</si>
  <si>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</si>
  <si>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</si>
  <si>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</si>
  <si>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</si>
  <si>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</si>
  <si>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Obras Portuárias, Marítimas e Fluviais</t>
  </si>
  <si>
    <t>BDI COM desoneração</t>
  </si>
  <si>
    <t>BDI DES</t>
  </si>
  <si>
    <t>pedir anexo</t>
  </si>
  <si>
    <t>Anexo: Relatório Técnico Circunstanciado justificando a adoção do percentual de cada parcela do BDI.</t>
  </si>
  <si>
    <t>anexo apresentado</t>
  </si>
  <si>
    <t>Os valores de BDI foram calculados com o emprego da fórmula:</t>
  </si>
  <si>
    <t xml:space="preserve"> - 1</t>
  </si>
  <si>
    <t>Fornecimento de Materiais e Equipamentos (aquisição indireta - em conjunto com licitação de obras)</t>
  </si>
  <si>
    <t>Observações:</t>
  </si>
  <si>
    <t>Local</t>
  </si>
  <si>
    <t>Data</t>
  </si>
  <si>
    <t>Estudos e Projetos, Planos e Gerenciamento e outros correlatos</t>
  </si>
  <si>
    <t>K1</t>
  </si>
  <si>
    <t>K2</t>
  </si>
  <si>
    <t>Responsável Técnico</t>
  </si>
  <si>
    <t>Responsável Tomador</t>
  </si>
  <si>
    <t>Nome:</t>
  </si>
  <si>
    <t>K3</t>
  </si>
  <si>
    <t>Título:</t>
  </si>
  <si>
    <t>Cargo:</t>
  </si>
  <si>
    <t>Construção e Reforma de Edifícios</t>
  </si>
  <si>
    <t>Fornecimento de Materiais e Equipamentos (aquisição direta)</t>
  </si>
  <si>
    <t>Código</t>
  </si>
  <si>
    <t>Banco</t>
  </si>
  <si>
    <t>Valor Unit</t>
  </si>
  <si>
    <t>Valor Unit com BDI</t>
  </si>
  <si>
    <t>Total</t>
  </si>
  <si>
    <t>SINAPI</t>
  </si>
  <si>
    <t>CPOS</t>
  </si>
  <si>
    <t xml:space="preserve"> 10.01.040 </t>
  </si>
  <si>
    <t>SIURB</t>
  </si>
  <si>
    <t xml:space="preserve"> 10.02.020 </t>
  </si>
  <si>
    <t xml:space="preserve"> 55.01.020 </t>
  </si>
  <si>
    <t>Total sem BDI</t>
  </si>
  <si>
    <t>Total do BDI</t>
  </si>
  <si>
    <t>Total Geral</t>
  </si>
  <si>
    <t>Peso (%)</t>
  </si>
  <si>
    <t>Tipo</t>
  </si>
  <si>
    <t>Quantidade</t>
  </si>
  <si>
    <t>Valor  Unitário</t>
  </si>
  <si>
    <t>Peso</t>
  </si>
  <si>
    <t>Valor Acumulado</t>
  </si>
  <si>
    <t>Peso Acumulado</t>
  </si>
  <si>
    <t>Operativa</t>
  </si>
  <si>
    <t>Improdutiva</t>
  </si>
  <si>
    <t>Geral</t>
  </si>
  <si>
    <t xml:space="preserve"> 2.3 </t>
  </si>
  <si>
    <t>MIN</t>
  </si>
  <si>
    <t>MED</t>
  </si>
  <si>
    <t>MAX</t>
  </si>
  <si>
    <t>Nº TC/CR</t>
  </si>
  <si>
    <t>PROPONENTE / TOMADOR</t>
  </si>
  <si>
    <t>OBJETO</t>
  </si>
  <si>
    <t>QUADRO DE COMPOSIÇÃO DO BDI</t>
  </si>
  <si>
    <t xml:space="preserve"> 2.4 </t>
  </si>
  <si>
    <t xml:space="preserve"> 2.5 </t>
  </si>
  <si>
    <t>Cronograma Físico e Financeiro</t>
  </si>
  <si>
    <t>SERVIÇOS PRELIMINARES</t>
  </si>
  <si>
    <t>kg</t>
  </si>
  <si>
    <t xml:space="preserve"> 4.1.1 </t>
  </si>
  <si>
    <t xml:space="preserve"> 4.1.2 </t>
  </si>
  <si>
    <t xml:space="preserve"> 4.1.3 </t>
  </si>
  <si>
    <t>Imprimação betuminosa impermeabilizante</t>
  </si>
  <si>
    <t>Total Por Etapa</t>
  </si>
  <si>
    <t>60 DIAS</t>
  </si>
  <si>
    <t>120 DIAS</t>
  </si>
  <si>
    <t>CHP</t>
  </si>
  <si>
    <t xml:space="preserve"> 2.1.1 </t>
  </si>
  <si>
    <t>SIURB INFRA</t>
  </si>
  <si>
    <t xml:space="preserve"> 2.2.1 </t>
  </si>
  <si>
    <t xml:space="preserve"> 2.2.2 </t>
  </si>
  <si>
    <t xml:space="preserve"> 2.2.3 </t>
  </si>
  <si>
    <t xml:space="preserve"> 2.3.1 </t>
  </si>
  <si>
    <t xml:space="preserve"> 2.3.2 </t>
  </si>
  <si>
    <t xml:space="preserve"> 2.4.1 </t>
  </si>
  <si>
    <t xml:space="preserve"> 2.4.2 </t>
  </si>
  <si>
    <t xml:space="preserve"> 2.5.1 </t>
  </si>
  <si>
    <t xml:space="preserve"> 2.5.2 </t>
  </si>
  <si>
    <t xml:space="preserve"> 2.5.3 </t>
  </si>
  <si>
    <t xml:space="preserve"> 3.1.1 </t>
  </si>
  <si>
    <t xml:space="preserve"> 3.1.2 </t>
  </si>
  <si>
    <t xml:space="preserve"> 3.2.1 </t>
  </si>
  <si>
    <t xml:space="preserve"> 3.2.2 </t>
  </si>
  <si>
    <t xml:space="preserve"> 3.2.3 </t>
  </si>
  <si>
    <t xml:space="preserve"> 3.2.4 </t>
  </si>
  <si>
    <t xml:space="preserve"> 3.2.5 </t>
  </si>
  <si>
    <t>30 DIAS</t>
  </si>
  <si>
    <t>90 DIAS</t>
  </si>
  <si>
    <r>
      <rPr>
        <b/>
        <sz val="12"/>
        <rFont val="Arial Narrow"/>
        <family val="2"/>
      </rPr>
      <t xml:space="preserve">Obra: </t>
    </r>
    <r>
      <rPr>
        <sz val="12"/>
        <rFont val="Arial Narrow"/>
        <family val="2"/>
      </rPr>
      <t>TRAVESSIA JARDIM MERCEDEZ - PORTAL DO LAGO</t>
    </r>
  </si>
  <si>
    <r>
      <rPr>
        <b/>
        <sz val="12"/>
        <rFont val="Arial Narrow"/>
        <family val="2"/>
      </rPr>
      <t>Local:</t>
    </r>
    <r>
      <rPr>
        <sz val="12"/>
        <rFont val="Arial Narrow"/>
        <family val="2"/>
      </rPr>
      <t xml:space="preserve"> PORTAL DO LAGO,  MUNÍCIPIO DE ENGENHEIRO COLEHO/SP</t>
    </r>
  </si>
  <si>
    <t>PLACA DE IDENTIFICAÇÃO DE OBRA</t>
  </si>
  <si>
    <t xml:space="preserve"> 02.08.020 </t>
  </si>
  <si>
    <t>Placa de identificação para obra</t>
  </si>
  <si>
    <t>ALMOXARIFADO</t>
  </si>
  <si>
    <t xml:space="preserve"> 93208 </t>
  </si>
  <si>
    <t>EXECUÇÃO DE ALMOXARIFADO EM CANTEIRO DE OBRA EM CHAPA DE MADEIRA COMPENSADA, INCLUSO PRATELEIRAS. AF_02/2016</t>
  </si>
  <si>
    <t>RETIRADAS, LIMPEZA E PREPARAÇÃO DO TERRENO</t>
  </si>
  <si>
    <t xml:space="preserve"> 98525 </t>
  </si>
  <si>
    <t>LIMPEZA MECANIZADA DE CAMADA VEGETAL, VEGETAÇÃO E PEQUENAS ÁRVORES (DIÂMETRO DE TRONCO MENOR QUE 0,20 M), COM TRATOR DE ESTEIRAS.AF_05/2018</t>
  </si>
  <si>
    <t xml:space="preserve"> 74010/001 </t>
  </si>
  <si>
    <t>CARGA E DESCARGA MECANICA DE SOLO UTILIZANDO CAMINHAO BASCULANTE 6,0M3/16T E PA CARREGADEIRA SOBRE PNEUS 128 HP, CAPACIDADE DA CAÇAMBA 1,7 A 2,8 M3, PESO OPERACIONAL 11632 KG</t>
  </si>
  <si>
    <t xml:space="preserve"> 97914 </t>
  </si>
  <si>
    <t>TRANSPORTE COM CAMINHÃO BASCULANTE DE 6 M3, EM VIA URBANA PAVIMENTADA, DMT ATÉ 30 KM (UNIDADE: M3XKM). AF_01/2018</t>
  </si>
  <si>
    <t>M3XKM</t>
  </si>
  <si>
    <t>TRÂNSITO E SEGURANÇA</t>
  </si>
  <si>
    <t xml:space="preserve"> 74221/001 </t>
  </si>
  <si>
    <t>SINALIZACAO DE TRANSITO - NOTURNA</t>
  </si>
  <si>
    <t xml:space="preserve"> 010540 </t>
  </si>
  <si>
    <t>TELA PARA PROTEÇÃO DE OBRAS, MALHA 2 MM</t>
  </si>
  <si>
    <t>ENSAIOS</t>
  </si>
  <si>
    <t xml:space="preserve"> 74021/002 </t>
  </si>
  <si>
    <t>ENSAIO DE TERRAPLENAGEM - CAMADA FINAL DO ATERRO</t>
  </si>
  <si>
    <t xml:space="preserve"> 020604 </t>
  </si>
  <si>
    <t>ENSAIOS DE LABORATÓRIO - COMPACTAÇÃO</t>
  </si>
  <si>
    <t>ENS.</t>
  </si>
  <si>
    <t>DESVIO DE LEITO E ESGOTAMENTO</t>
  </si>
  <si>
    <t xml:space="preserve"> 73890/002 </t>
  </si>
  <si>
    <t>ENSECADEIRA DE MADEIRA COM PAREDE DUPLA</t>
  </si>
  <si>
    <t xml:space="preserve"> 93421 </t>
  </si>
  <si>
    <t>GRUPO GERADOR REBOCÁVEL, POTÊNCIA 66 KVA, MOTOR A DIESEL - CHP DIURNO. AF_03/2016</t>
  </si>
  <si>
    <t xml:space="preserve"> 89021 </t>
  </si>
  <si>
    <t>BOMBA SUBMERSÍVEL ELÉTRICA TRIFÁSICA, POTÊNCIA 2,96 HP, Ø ROTOR 144 MM SEMI-ABERTO, BOCAL DE SAÍDA Ø 2, HM/Q = 2 MCA / 38,8 M3/H A 28 MCA / 5 M3/H - CHP DIURNO. AF_06/2014</t>
  </si>
  <si>
    <t>MOVIMENTO DE TERRA</t>
  </si>
  <si>
    <t>ESCAVAÇAO</t>
  </si>
  <si>
    <t xml:space="preserve"> 07.05.010 </t>
  </si>
  <si>
    <t>Escavação e carga mecanizada em solo brejoso ou turfa</t>
  </si>
  <si>
    <t xml:space="preserve"> 72915 </t>
  </si>
  <si>
    <t>ESCAVACAO MECANICA DE VALA EM MATERIAL DE 2A. CATEGORIA ATE 2 M DE PROFUNDIDADE COM UTILIZACAO DE ESCAVADEIRA HIDRAULICA</t>
  </si>
  <si>
    <t>ATERRO E BOTA-FORA</t>
  </si>
  <si>
    <t xml:space="preserve"> 94307 </t>
  </si>
  <si>
    <t>ATERRO MECANIZADO DE VALA COM ESCAVADEIRA HIDRÁULICA (CAPACIDADE DA CAÇAMBA: 0,8 M³ / POTÊNCIA: 111 HP), LARGURA ATÉ 1,5 M, PROFUNDIDADE DE 3,0 A 4,5 M, COM SOLO ARGILO-ARENOSO. AF_05/2016</t>
  </si>
  <si>
    <t xml:space="preserve"> 100574 </t>
  </si>
  <si>
    <t>ESPALHAMENTO DE MATERIAL COM TRATOR DE ESTEIRAS. AF_11/2019</t>
  </si>
  <si>
    <t xml:space="preserve"> 41721 </t>
  </si>
  <si>
    <t>COMPACTACAO MECANICA A 95% DO PROCTOR NORMAL - PAVIMENTACAO URBANA</t>
  </si>
  <si>
    <t>TRAVESSIA RIBEIRÃO POR ADUELAS</t>
  </si>
  <si>
    <t>PREPARO DE FUNDO</t>
  </si>
  <si>
    <t xml:space="preserve"> 96399 </t>
  </si>
  <si>
    <t>EXECUÇÃO E COMPACTAÇÃO DE BASE E OU SUB BASE PARA PAVIMENTAÇÃO DE PEDRA RACHÃO  - EXCLUSIVE CARGA E TRANSPORTE. AF_11/2019</t>
  </si>
  <si>
    <t xml:space="preserve"> 100324 </t>
  </si>
  <si>
    <t>LASTRO COM MATERIAL GRANULAR (PEDRA BRITADA N.1 E PEDRA BRITADA N.2), APLICADO EM PISOS OU RADIERS, ESPESSURA DE *10 CM*. AF_07/2019</t>
  </si>
  <si>
    <t xml:space="preserve"> 95241 </t>
  </si>
  <si>
    <t>LASTRO DE CONCRETO MAGRO, APLICADO EM PISOS OU RADIERS, ESPESSURA DE 5 CM. AF_07/2016</t>
  </si>
  <si>
    <t>ADUELAS</t>
  </si>
  <si>
    <t xml:space="preserve"> 4.3 </t>
  </si>
  <si>
    <t>PISO DO MURO DE ALA</t>
  </si>
  <si>
    <t xml:space="preserve"> 4.3.1 </t>
  </si>
  <si>
    <t xml:space="preserve"> 96530 </t>
  </si>
  <si>
    <t>FABRICAÇÃO, MONTAGEM E DESMONTAGEM DE FÔRMA PARA VIGA BALDRAME, EM MADEIRA SERRADA, E=25 MM, 1 UTILIZAÇÃO. AF_06/2017</t>
  </si>
  <si>
    <t xml:space="preserve"> 4.3.2 </t>
  </si>
  <si>
    <t xml:space="preserve"> 4.3.3 </t>
  </si>
  <si>
    <t xml:space="preserve"> 4.3.4 </t>
  </si>
  <si>
    <t xml:space="preserve"> 11.01.320 </t>
  </si>
  <si>
    <t>Concreto usinado, fck = 30 MPa - para bombeamento</t>
  </si>
  <si>
    <t xml:space="preserve"> 4.4 </t>
  </si>
  <si>
    <t>MURO DE ALA E CONTEÇÃO</t>
  </si>
  <si>
    <t xml:space="preserve"> 4.4.1 </t>
  </si>
  <si>
    <t xml:space="preserve"> 101173 </t>
  </si>
  <si>
    <t>ESTACA BROCA DE CONCRETO, DIÂMETRO DE 20CM, ESCAVAÇÃO MANUAL COM TRADO CONCHA, COM ARMADURA DE ARRANQUE. AF_05/2020</t>
  </si>
  <si>
    <t xml:space="preserve"> 4.4.2 </t>
  </si>
  <si>
    <t xml:space="preserve"> 09.02.080 </t>
  </si>
  <si>
    <t>Forma plana em compensado para obra de arte, sem cimbramento</t>
  </si>
  <si>
    <t xml:space="preserve"> 4.4.3 </t>
  </si>
  <si>
    <t xml:space="preserve"> 4.4.4 </t>
  </si>
  <si>
    <t xml:space="preserve"> 4.4.5 </t>
  </si>
  <si>
    <t xml:space="preserve"> 14.11.231 </t>
  </si>
  <si>
    <t>Alvenaria de bloco de concreto estrutural 19 x 19 x 39 cm - classe B</t>
  </si>
  <si>
    <t xml:space="preserve"> 4.4.6 </t>
  </si>
  <si>
    <t xml:space="preserve"> 90279 </t>
  </si>
  <si>
    <t>GRAUTE FGK=20 MPA; TRAÇO 1:0,04:1,6:1,9 (CIMENTO/ CAL/ AREIA GROSSA/ BRITA 0) - PREPARO MECÂNICO COM BETONEIRA 400 L. AF_02/2015</t>
  </si>
  <si>
    <t xml:space="preserve"> 4.4.7 </t>
  </si>
  <si>
    <t xml:space="preserve"> 98557 </t>
  </si>
  <si>
    <t>IMPERMEABILIZAÇÃO DE SUPERFÍCIE COM EMULSÃO ASFÁLTICA, 2 DEMÃOS AF_06/2018</t>
  </si>
  <si>
    <t xml:space="preserve"> 4.4.8 </t>
  </si>
  <si>
    <t xml:space="preserve"> 87322 </t>
  </si>
  <si>
    <t>ARGAMASSA TRAÇO 1:3 (EM VOLUME DE CIMENTO E AREIA GROSSA ÚMIDA) COM ADIÇÃO DE EMULSÃO POLIMÉRICA PARA CHAPISCO ROLADO, PREPARO MECÂNICO COM BETONEIRA 400 L. AF_08/2019</t>
  </si>
  <si>
    <t xml:space="preserve"> 4.4.9 </t>
  </si>
  <si>
    <t xml:space="preserve"> 87289 </t>
  </si>
  <si>
    <t>ARGAMASSA TRAÇO 1:1,5:7,5 (EM VOLUME DE CIMENTO, CAL E AREIA MÉDIA ÚMIDA) PARA EMBOÇO/MASSA ÚNICA/ASSENTAMENTO DE ALVENARIA DE VEDAÇÃO, PREPARO MECÂNICO COM BETONEIRA 400 L. AF_08/2019</t>
  </si>
  <si>
    <t xml:space="preserve"> 4.4.10 </t>
  </si>
  <si>
    <t xml:space="preserve"> 88489 </t>
  </si>
  <si>
    <t>APLICAÇÃO MANUAL DE PINTURA COM TINTA LÁTEX ACRÍLICA EM PAREDES, DUAS DEMÃOS. AF_06/2014</t>
  </si>
  <si>
    <t xml:space="preserve"> 5 </t>
  </si>
  <si>
    <t>PAVIMENTAÇÃO</t>
  </si>
  <si>
    <t xml:space="preserve"> 5.1 </t>
  </si>
  <si>
    <t xml:space="preserve"> 94273 </t>
  </si>
  <si>
    <t>ASSENTAMENTO DE GUIA (MEIO-FIO) EM TRECHO RETO, CONFECCIONADA EM CONCRETO PRÉ-FABRICADO, DIMENSÕES 100X15X13X30 CM (COMPRIMENTO X BASE INFERIOR X BASE SUPERIOR X ALTURA), PARA VIAS URBANAS (USO VIÁRIO). AF_06/2016</t>
  </si>
  <si>
    <t xml:space="preserve"> 5.2 </t>
  </si>
  <si>
    <t xml:space="preserve"> 100577 </t>
  </si>
  <si>
    <t>REGULARIZAÇÃO E COMPACTAÇÃO DE SUBLEITO DE SOLO PREDOMINANTEMENTE ARENOSO. AF_11/2019</t>
  </si>
  <si>
    <t xml:space="preserve"> 5.3 </t>
  </si>
  <si>
    <t xml:space="preserve"> 96392 </t>
  </si>
  <si>
    <t>EXECUÇÃO E COMPACTAÇÃO DE BASE E OU SUB BASE PARA PAVIMENTAÇÃO DE SOLO (PREDOMINANTEMENTE ARENOSO) COM CIMENTO (TEOR DE 8%) - EXCLUSIVE SOLO, ESCAVAÇÃO, CARGA E TRANSPORTE. AF_11/2019</t>
  </si>
  <si>
    <t xml:space="preserve"> 5.4 </t>
  </si>
  <si>
    <t xml:space="preserve"> 96396 </t>
  </si>
  <si>
    <t>EXECUÇÃO E COMPACTAÇÃO DE BASE E OU SUB BASE PARA PAVIMENTAÇÃO DE BRITA GRADUADA SIMPLES - EXCLUSIVE CARGA E TRANSPORTE. AF_11/2019</t>
  </si>
  <si>
    <t xml:space="preserve"> 5.5 </t>
  </si>
  <si>
    <t xml:space="preserve"> 100973 </t>
  </si>
  <si>
    <t>CARGA, MANOBRA E DESCARGA DE SOLOS E MATERIAIS GRANULARES EM CAMINHÃO BASCULANTE 6 M³ - CARGA COM PÁ CARREGADEIRA (CAÇAMBA DE 1,7 A 2,8 M³ / 128 HP) E DESCARGA LIVRE (UNIDADE: M3). AF_07/2020</t>
  </si>
  <si>
    <t xml:space="preserve"> 5.6 </t>
  </si>
  <si>
    <t xml:space="preserve"> 72887 </t>
  </si>
  <si>
    <t>TRANSPORTE COMERCIAL COM CAMINHAO BASCULANTE 6 M3, RODOVIA PAVIMENTADA</t>
  </si>
  <si>
    <t xml:space="preserve"> 6 </t>
  </si>
  <si>
    <t xml:space="preserve"> 6.1 </t>
  </si>
  <si>
    <t xml:space="preserve"> 6.2 </t>
  </si>
  <si>
    <t xml:space="preserve"> 99837 </t>
  </si>
  <si>
    <t>GUARDA-CORPO DE AÇO GALVANIZADO DE 1,10M, MONTANTES TUBULARES DE 1.1/4" ESPAÇADOS DE 1,20M, TRAVESSA SUPERIOR DE 1.1/2", GRADIL FORMADO POR TUBOS HORIZONTAIS DE 1" E VERTICAIS DE 3/4", FIXADO COM CHUMBADOR MECÂNICO. AF_04/2019_P</t>
  </si>
  <si>
    <t>Memorial de Cálculo</t>
  </si>
  <si>
    <t>Cálculo</t>
  </si>
  <si>
    <t>=2m de largura*2m de comprimento</t>
  </si>
  <si>
    <t>=14 dias* 8 horas diárias</t>
  </si>
  <si>
    <t>45m * 2 lados</t>
  </si>
  <si>
    <t>90m*1,2m de altura</t>
  </si>
  <si>
    <t>50m de comprimento*2m de altura</t>
  </si>
  <si>
    <t>4,62m² da área da seção*26m de comprimento</t>
  </si>
  <si>
    <t>155m³ da área de talude a remanejar*1m de altura mediana</t>
  </si>
  <si>
    <t>(158,60m² da área da seção*13,5m de comprimento)+(((73m²+79m²+79m²+74m² da área de talude)*1,5m de altura mediana)*1,3 do empolamento</t>
  </si>
  <si>
    <t>825,76m³ do bota-fora *2 km estimado até o bota-fora</t>
  </si>
  <si>
    <t>120,12m³ + 155m³ dos volumes de escavações*1,3 do empolamento</t>
  </si>
  <si>
    <t>108,68m² da área de rachão*0,6m de espessura</t>
  </si>
  <si>
    <t>85m² da área de lastro*0,05m de espessura</t>
  </si>
  <si>
    <t>85m² da área de lastro*0,20m de espessura</t>
  </si>
  <si>
    <t>14 aduelas conforme projeto</t>
  </si>
  <si>
    <t>=12 pontos de estacas*2 metros de profundidade</t>
  </si>
  <si>
    <t>=(0,6m*2,5m) área da forma dos tirantres * 12  pontos</t>
  </si>
  <si>
    <t>=(14m de comprimento*8 blocos*2 *2 lados)*0,245kg para o aço de 6,3mm</t>
  </si>
  <si>
    <t>=((0,49m de comprimento*36 pontos*2 lados)*0,395kg para o aço de 8mm)+((3m de comprimento*9 fiadas*2*4 aldos)*0,395 kg para o aço de 8mm)</t>
  </si>
  <si>
    <t>=((70 pontos*1,32m de altura*2 lados)*0,617kg para o aço de 10mm)+((3,3m de altura*15 pontos*4 lados)*0,617kg para o aço de 10mm)</t>
  </si>
  <si>
    <t>=0,4*2,5m³ do vol do concreto do tirante*12 tirantes</t>
  </si>
  <si>
    <t>(8,40m² da área do muro ala*4 muros)+((1,4m+1m do muro de contenção)*14m de comprimento*2 lados)</t>
  </si>
  <si>
    <t>(((12 fiadas*0,01143m² da seção do grout horizontal*2 lados)+(15 pontos*(1+1,4m de altura)*0,01275m² da seção do grou vertical))*2 lados)+(((7 fiadas*3,35m de comprimento*0,01143m² da seção do grout horozontal)+(3 pontos*2,75m de altura mediana*0,01275m² da seção do grout vertical))*4 muros ala)</t>
  </si>
  <si>
    <t>(8,40m² da área do muro ala*4 muros)+((0,20m do muro de contenção na área aterrada)*14 m de comprimento*2 lados)</t>
  </si>
  <si>
    <t>(((8,40m² da área do muro ala*4 muros))+((0,60m de altura)*14m de comprimento*2 faces))*2 lados*0,01m de espessura</t>
  </si>
  <si>
    <t>(((8,4m² da área do muro ala*4 muros))+((0,60m de altura)*14m de comprimento*2 faces))*2 lados*0,02m de espessura</t>
  </si>
  <si>
    <t>(((8,4m² da área do muro ala*4 muros))+((0,60m de altura)*14m de comprimento*2 faces* 4 muros</t>
  </si>
  <si>
    <t>(23,5m+20,65m+26m+17m de comprimento conforme projeto)</t>
  </si>
  <si>
    <t>86 metros de comprimento conforme projeto)</t>
  </si>
  <si>
    <t>EXECUÇÃO DE PINTURA DE LIGAÇÃO COM EMULSÃO ASFÁLTICA RR-2C. AF_11/2019</t>
  </si>
  <si>
    <t>EXECUÇÃO DE PAVIMENTO COM APLICAÇÃO DE CONCRETO ASFÁLTICO, CAMADA DE BINDER - EXCLUSIVE CARGA E TRANSPORTE. AF_11/2019</t>
  </si>
  <si>
    <t>EXECUÇÃO DE PAVIMENTO COM APLICAÇÃO DE CONCRETO ASFÁLTICO, CAMADA DE ROLAMENTO - EXCLUSIVE CARGA E TRANSPORTE. AF_11/2019</t>
  </si>
  <si>
    <t>795,00m² de área *0,15m de espessura</t>
  </si>
  <si>
    <t>795,00m² de área de pavimento</t>
  </si>
  <si>
    <t>795,00m² de área de pavimento*4 cm de espessura</t>
  </si>
  <si>
    <t>795,00m² de área de pavimento*3cm de espessura</t>
  </si>
  <si>
    <t>_____________________________________
Alexandre R. Gaino
Eng. Civil
5060435411</t>
  </si>
  <si>
    <t>ARMAÇÃO PARA EXECUÇÃO DE RADIER, PISO DE CONCRETO OU LAJE SOBRE SOLO, COM USO DE TELA Q-92. AF_09/2021</t>
  </si>
  <si>
    <t>CONCRETAGEM DE RADIER, PISO DE CONCRETO OU LAJE SOBRE SOLO, FCK 30 MPA - LANÇAMENTO, ADENSAMENTO E ACABAMENTO. AF_09/2021</t>
  </si>
  <si>
    <t>Corte de junta de dilatação, com serra de disco diamantado para pisos</t>
  </si>
  <si>
    <t>412,00m² da área de passeio*0,05m de espessura</t>
  </si>
  <si>
    <t>412,00m² da área de passeio*1,48kg para o peso do aço Q-92</t>
  </si>
  <si>
    <t>412,00m² da área de passeio*0,07m de espessura</t>
  </si>
  <si>
    <t>412,00m² da área de passeio*0,4 para a porcentagem estimada</t>
  </si>
  <si>
    <t>(795,00m² da área de asfalto+412,00m² da área de passeio)*50%</t>
  </si>
  <si>
    <t>3,00m de comprimento * 2 lados</t>
  </si>
  <si>
    <t>70m de comprimentoi*40m de largura da área considerada para limpeza</t>
  </si>
  <si>
    <t>2800m² da área de limpeza*0,15m de espessura considerada*1,3 do empolamento</t>
  </si>
  <si>
    <t>543,00m³ do bota fora*2 km considerado até o local</t>
  </si>
  <si>
    <t>(14,65 do perimetro do piso*0,2m de altura*2 lados)+((5,8m de comprimento da viga*0,3m de altura*2)*2 lados)</t>
  </si>
  <si>
    <t>(12,00m² da área de piso*2,2kg para o peso da tela Q-138)* 2 lados</t>
  </si>
  <si>
    <t>((5,8m de comprimento)*0,3m de largura*0,3m de altura)*94 kg para o fator do aço para infraestrutura*2 lados</t>
  </si>
  <si>
    <t>(((12m² da área de piso*0,2m de espessura))+((5,8m de comprimento)*0,3m de largura*0,3m de altura))*2 lados</t>
  </si>
  <si>
    <t>119,25m³ da brita+31,80m³ do binder+23,85m³ da camada de rolamento</t>
  </si>
  <si>
    <t>174,90m³ da carga*60km estimados para o transporte do asfalto</t>
  </si>
  <si>
    <t>PASSEIO</t>
  </si>
  <si>
    <t xml:space="preserve"> 4.2.1 </t>
  </si>
  <si>
    <t xml:space="preserve"> COTAÇÃO RL07 </t>
  </si>
  <si>
    <t>Próprio</t>
  </si>
  <si>
    <t xml:space="preserve"> 92875 </t>
  </si>
  <si>
    <t>CORTE E DOBRA DE AÇO CA-25, DIÂMETRO DE 6,3 MM. AF_06/2022</t>
  </si>
  <si>
    <t xml:space="preserve"> 92876 </t>
  </si>
  <si>
    <t>CORTE E DOBRA DE AÇO CA-25, DIÂMETRO DE 8,0 MM. AF_06/2022</t>
  </si>
  <si>
    <t xml:space="preserve"> 92877 </t>
  </si>
  <si>
    <t>CORTE E DOBRA DE AÇO CA-25, DIÂMETRO DE 10,0 MM. AF_06/2022</t>
  </si>
  <si>
    <t xml:space="preserve"> 4.4.11 </t>
  </si>
  <si>
    <t xml:space="preserve"> 4.4.12 </t>
  </si>
  <si>
    <t xml:space="preserve"> 54.03.240 </t>
  </si>
  <si>
    <t xml:space="preserve"> 96402 </t>
  </si>
  <si>
    <t xml:space="preserve"> 95996 </t>
  </si>
  <si>
    <t xml:space="preserve"> 5.7 </t>
  </si>
  <si>
    <t xml:space="preserve"> 95995 </t>
  </si>
  <si>
    <t xml:space="preserve"> 5.8 </t>
  </si>
  <si>
    <t xml:space="preserve"> 5.9 </t>
  </si>
  <si>
    <t xml:space="preserve"> 97088 </t>
  </si>
  <si>
    <t xml:space="preserve"> 6.3 </t>
  </si>
  <si>
    <t xml:space="preserve"> 97096 </t>
  </si>
  <si>
    <t xml:space="preserve"> 6.4 </t>
  </si>
  <si>
    <t xml:space="preserve"> 11.20.050 </t>
  </si>
  <si>
    <t xml:space="preserve"> 7 </t>
  </si>
  <si>
    <t xml:space="preserve"> 7.1 </t>
  </si>
  <si>
    <t xml:space="preserve"> 7.2 </t>
  </si>
  <si>
    <r>
      <rPr>
        <b/>
        <sz val="12"/>
        <rFont val="Arial Narrow"/>
        <family val="2"/>
      </rPr>
      <t>Cliente:</t>
    </r>
    <r>
      <rPr>
        <sz val="12"/>
        <rFont val="Arial Narrow"/>
        <family val="2"/>
      </rPr>
      <t xml:space="preserve"> PREFEITURA MUNICIPAL DE ENGENHEIRO COELHO</t>
    </r>
  </si>
  <si>
    <t>PREFEITURA MUNICIPAL DE ENGENHEIRO COELHO</t>
  </si>
  <si>
    <t>Idem m3 de aterro</t>
  </si>
  <si>
    <t>7 unidades de ensaio</t>
  </si>
  <si>
    <t>COTAÇÕES</t>
  </si>
  <si>
    <t>PROPONENTES</t>
  </si>
  <si>
    <t>FORNECEDOR A</t>
  </si>
  <si>
    <t>FORNECEDOR B</t>
  </si>
  <si>
    <t>VALOR UNITÁRIO UTILIZADO (MÉDIA)</t>
  </si>
  <si>
    <t xml:space="preserve">EMPRESA </t>
  </si>
  <si>
    <t>CNPJ</t>
  </si>
  <si>
    <t>NOME DO CONTATO</t>
  </si>
  <si>
    <t>TELEFONE</t>
  </si>
  <si>
    <t>EMAIL</t>
  </si>
  <si>
    <t>DATA DA PROPOSTA</t>
  </si>
  <si>
    <t>ITEM</t>
  </si>
  <si>
    <t>UN.</t>
  </si>
  <si>
    <t>QUANT.</t>
  </si>
  <si>
    <t xml:space="preserve">R$ </t>
  </si>
  <si>
    <t>R$ TOTAL</t>
  </si>
  <si>
    <t>Tubo de Ferro Fundido Flangeado - L = 5800 mm</t>
  </si>
  <si>
    <t>TUBOS E ADUELAS</t>
  </si>
  <si>
    <t>MOISES FRASSON</t>
  </si>
  <si>
    <t>19  9 9801 - 7808</t>
  </si>
  <si>
    <t>vendas@tuboseaduleas.com.br</t>
  </si>
  <si>
    <t>aduela em concreto 3,00 x 2,00 x 1,00 x 0,20 espessura</t>
  </si>
  <si>
    <t>ENGEBLOC</t>
  </si>
  <si>
    <t>46 384 336/0001-04</t>
  </si>
  <si>
    <t>FLAVIO</t>
  </si>
  <si>
    <t>19  3551 4200</t>
  </si>
  <si>
    <t>flavio@engetubo.com.br</t>
  </si>
  <si>
    <t>ADUELA EM CONCRETO ARMADO PRÉ-FABRICADA PARA ÁGUAS PLUVIAIS, FCK 30 MPA. SEÇÃO INTERNA: L: 3,00 M X A: 2,00 M X C: 1,00 - ESP. 0,20 M, JUNTA RIGIDA, ENCAIXE MACHO E FÊMEA. TRÁFEGO PESADO PARA A OBRA DAS TRAVESSIAS EM ADUELAS, PREFEITURA MUNICIPAL DE ENGENHEIRO COELHO. 11-2022</t>
  </si>
  <si>
    <t>2,4m de largura*2m de altura</t>
  </si>
  <si>
    <t xml:space="preserve"> G0112 </t>
  </si>
  <si>
    <t>ADUELA EM CONCRETO PRE MOLDADO, RETANGULAR, 3,00m x 2,00m x 0,20 m</t>
  </si>
  <si>
    <t>Composição</t>
  </si>
  <si>
    <t>Insumo</t>
  </si>
  <si>
    <t xml:space="preserve"> B.01.000.010111 </t>
  </si>
  <si>
    <t>Carpinteiro</t>
  </si>
  <si>
    <t>Mão de Obra</t>
  </si>
  <si>
    <t>h</t>
  </si>
  <si>
    <t xml:space="preserve"> B.01.000.010112 </t>
  </si>
  <si>
    <t>Ajudante de carpinteiro</t>
  </si>
  <si>
    <t xml:space="preserve"> E.02.000.026760 </t>
  </si>
  <si>
    <t>Prego diversas bitolas (referência 18 x 27)</t>
  </si>
  <si>
    <t>Material</t>
  </si>
  <si>
    <t xml:space="preserve"> B.02.000.020508 </t>
  </si>
  <si>
    <t>Cimento CPII-E-32 (sacos de 50 kg)</t>
  </si>
  <si>
    <t xml:space="preserve"> D.02.000.021009 </t>
  </si>
  <si>
    <t>Pontalete de cedrinho de 75 mm x 75 mm - 3ª construcão</t>
  </si>
  <si>
    <t>m</t>
  </si>
  <si>
    <t xml:space="preserve"> B.04.000.020503 </t>
  </si>
  <si>
    <t>Areia média lavada (a granel caçamba fechada)</t>
  </si>
  <si>
    <t xml:space="preserve"> N.04.000.020357 </t>
  </si>
  <si>
    <t>Placa para identificação da obra, em chapa de aço n° 18, galvanizado com tratamento anticorrosivo padrão</t>
  </si>
  <si>
    <t>MO sem LS =&gt;</t>
  </si>
  <si>
    <t>LS =&gt;</t>
  </si>
  <si>
    <t>MO com LS =&gt;</t>
  </si>
  <si>
    <t>Valor do BDI =&gt;</t>
  </si>
  <si>
    <t>Valor com BDI =&gt;</t>
  </si>
  <si>
    <t>Quant. =&gt;</t>
  </si>
  <si>
    <t>Preço Total =&gt;</t>
  </si>
  <si>
    <t>CANT - CANTEIRO DE OBRAS</t>
  </si>
  <si>
    <t>Composição Auxiliar</t>
  </si>
  <si>
    <t xml:space="preserve"> 98441 </t>
  </si>
  <si>
    <t>PAREDE DE MADEIRA COMPENSADA PARA CONSTRUÇÃO TEMPORÁRIA EM CHAPA SIMPLES, EXTERNA, COM ÁREA LÍQUIDA MAIOR OU IGUAL A 6 M², SEM VÃO. AF_05/2018</t>
  </si>
  <si>
    <t xml:space="preserve"> 98442 </t>
  </si>
  <si>
    <t>PAREDE DE MADEIRA COMPENSADA PARA CONSTRUÇÃO TEMPORÁRIA EM CHAPA SIMPLES, EXTERNA, COM ÁREA LÍQUIDA MENOR QUE 6 M², SEM VÃO. AF_05/2018</t>
  </si>
  <si>
    <t xml:space="preserve"> 98444 </t>
  </si>
  <si>
    <t>PAREDE DE MADEIRA COMPENSADA PARA CONSTRUÇÃO TEMPORÁRIA EM CHAPA SIMPLES, INTERNA, COM ÁREA LÍQUIDA MENOR QUE 6 M², SEM VÃO. AF_05/2018</t>
  </si>
  <si>
    <t xml:space="preserve"> 98446 </t>
  </si>
  <si>
    <t>PAREDE DE MADEIRA COMPENSADA PARA CONSTRUÇÃO TEMPORÁRIA EM CHAPA SIMPLES, EXTERNA, COM ÁREA LÍQUIDA MENOR QUE 6 M², COM VÃO. AF_05/2018</t>
  </si>
  <si>
    <t xml:space="preserve"> 98443 </t>
  </si>
  <si>
    <t>PAREDE DE MADEIRA COMPENSADA PARA CONSTRUÇÃO TEMPORÁRIA EM CHAPA SIMPLES, INTERNA, COM ÁREA LÍQUIDA MAIOR OU IGUAL A 6 M², SEM VÃO. AF_05/2018</t>
  </si>
  <si>
    <t xml:space="preserve"> 98445 </t>
  </si>
  <si>
    <t>PAREDE DE MADEIRA COMPENSADA PARA CONSTRUÇÃO TEMPORÁRIA EM CHAPA SIMPLES, EXTERNA, COM ÁREA LÍQUIDA MAIOR OU IGUAL A 6 M², COM VÃO. AF_05/2018</t>
  </si>
  <si>
    <t xml:space="preserve"> 98448 </t>
  </si>
  <si>
    <t>PAREDE DE MADEIRA COMPENSADA PARA CONSTRUÇÃO TEMPORÁRIA EM CHAPA SIMPLES, INTERNA, COM ÁREA LÍQUIDA MENOR QUE 6 M², COM VÃO. AF_05/2018</t>
  </si>
  <si>
    <t xml:space="preserve"> 98447 </t>
  </si>
  <si>
    <t>PAREDE DE MADEIRA COMPENSADA PARA CONSTRUÇÃO TEMPORÁRIA EM CHAPA SIMPLES, INTERNA, COM ÁREA LÍQUIDA MAIOR OU IGUAL A 6 M², COM VÃO. AF_05/2018</t>
  </si>
  <si>
    <t xml:space="preserve"> 92543 </t>
  </si>
  <si>
    <t>TRAMA DE MADEIRA COMPOSTA POR TERÇAS PARA TELHADOS DE ATÉ 2 ÁGUAS PARA TELHA ONDULADA DE FIBROCIMENTO, METÁLICA, PLÁSTICA OU TERMOACÚSTICA, INCLUSO TRANSPORTE VERTICAL. AF_07/2019</t>
  </si>
  <si>
    <t>COBE - COBERTURA</t>
  </si>
  <si>
    <t xml:space="preserve"> 94210 </t>
  </si>
  <si>
    <t>TELHAMENTO COM TELHA ONDULADA DE FIBROCIMENTO E = 6 MM, COM RECOBRIMENTO LATERAL DE 1 1/4 DE ONDA PARA TELHADO COM INCLINAÇÃO MÁXIMA DE 10°, COM ATÉ 2 ÁGUAS, INCLUSO IÇAMENTO. AF_07/2019</t>
  </si>
  <si>
    <t xml:space="preserve"> 91341 </t>
  </si>
  <si>
    <t>PORTA EM ALUMÍNIO DE ABRIR TIPO VENEZIANA COM GUARNIÇÃO, FIXAÇÃO COM PARAFUSOS - FORNECIMENTO E INSTALAÇÃO. AF_12/2019</t>
  </si>
  <si>
    <t>ESQV - ESQUADRIAS/FERRAGENS/VIDROS</t>
  </si>
  <si>
    <t xml:space="preserve"> 94559 </t>
  </si>
  <si>
    <t>JANELA DE AÇO TIPO BASCULANTE PARA VIDROS, COM BATENTE, FERRAGENS E PINTURA ANTICORROSIVA. EXCLUSIVE VIDROS, ACABAMENTO, ALIZAR E CONTRAMARCO. FORNECIMENTO E INSTALAÇÃO. AF_12/2019</t>
  </si>
  <si>
    <t xml:space="preserve"> 95240 </t>
  </si>
  <si>
    <t>LASTRO DE CONCRETO MAGRO, APLICADO EM PISOS OU RADIERS, ESPESSURA DE 3 CM. AF_07/2016</t>
  </si>
  <si>
    <t>FUES - FUNDAÇÕES E ESTRUTURAS</t>
  </si>
  <si>
    <t xml:space="preserve"> 91924 </t>
  </si>
  <si>
    <t>CABO DE COBRE FLEXÍVEL ISOLADO, 1,5 MM², ANTI-CHAMA 450/750 V, PARA CIRCUITOS TERMINAIS - FORNECIMENTO E INSTALAÇÃO. AF_12/2015</t>
  </si>
  <si>
    <t>INEL - INSTALAÇÃO ELÉTRICA/ELETRIFICAÇÃO E ILUMINAÇÃO EXTERNA</t>
  </si>
  <si>
    <t xml:space="preserve"> 91862 </t>
  </si>
  <si>
    <t>ELETRODUTO RÍGIDO ROSCÁVEL, PVC, DN 20 MM (1/2"),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</si>
  <si>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</si>
  <si>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</si>
  <si>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91911 </t>
  </si>
  <si>
    <t>CURVA 90 GRAUS PARA ELETRODUTO, PVC, ROSCÁVEL, DN 20 MM (1/2"), PARA CIRCUITOS TERMINAIS, INSTALADA EM PAREDE - FORNECIMENTO E INSTALAÇÃO. AF_12/2015</t>
  </si>
  <si>
    <t xml:space="preserve"> 91926 </t>
  </si>
  <si>
    <t>CABO DE COBRE FLEXÍVEL ISOLADO, 2,5 MM², ANTI-CHAMA 450/750 V, PARA CIRCUITOS TERMINAIS - FORNECIMENTO E INSTALAÇÃO. AF_12/2015</t>
  </si>
  <si>
    <t xml:space="preserve"> 101165 </t>
  </si>
  <si>
    <t>ALVENARIA DE EMBASAMENTO COM BLOCO ESTRUTURAL DE CONCRETO, DE 14X19X29CM E ARGAMASSA DE ASSENTAMENTO COM PREPARO EM BETONEIRA. AF_05/2020</t>
  </si>
  <si>
    <t xml:space="preserve"> 91937 </t>
  </si>
  <si>
    <t>CAIXA OCTOGONAL 3" X 3", PVC, INSTALADA EM LAJE - FORNECIMENTO E INSTALAÇÃO. AF_12/2015</t>
  </si>
  <si>
    <t xml:space="preserve"> 95811 </t>
  </si>
  <si>
    <t>CONDULETE DE PVC, TIPO LB, PARA ELETRODUTO DE PVC SOLDÁVEL DN 25 MM (3/4''), APARENTE - FORNECIMENTO E INSTALAÇÃO. AF_11/2016</t>
  </si>
  <si>
    <t xml:space="preserve"> 101891 </t>
  </si>
  <si>
    <t>DISJUNTOR MONOPOLAR TIPO NEMA, CORRENTE NOMINAL DE 35 ATÉ 50A - FORNECIMENTO E INSTALAÇÃO. AF_10/2020</t>
  </si>
  <si>
    <t xml:space="preserve"> 95805 </t>
  </si>
  <si>
    <t>CONDULETE DE PVC, TIPO B, PARA ELETRODUTO DE PVC SOLDÁVEL DN 25 MM (3/4''), APARENTE - FORNECIMENTO E INSTALAÇÃO. AF_11/2016</t>
  </si>
  <si>
    <t xml:space="preserve"> 101876 </t>
  </si>
  <si>
    <t>QUADRO DE DISTRIBUIÇÃO DE ENERGIA EM PVC, DE EMBUTIR, SEM BARRAMENTO, PARA 6 DISJUNTORES - FORNECIMENTO E INSTALAÇÃO. AF_10/2020</t>
  </si>
  <si>
    <t xml:space="preserve"> 92000 </t>
  </si>
  <si>
    <t>TOMADA BAIXA DE EMBUTIR (1 MÓDULO), 2P+T 10 A, INCLUINDO SUPORTE E PLACA - FORNECIMENTO E INSTALAÇÃO. AF_12/2015</t>
  </si>
  <si>
    <t xml:space="preserve"> 97586 </t>
  </si>
  <si>
    <t>LUMINÁRIA TIPO CALHA, DE SOBREPOR, COM 2 LÂMPADAS TUBULARES FLUORESCENTES DE 36 W, COM REATOR DE PARTIDA RÁPIDA - FORNECIMENTO E INSTALAÇÃO. AF_02/2020</t>
  </si>
  <si>
    <t xml:space="preserve"> 97611 </t>
  </si>
  <si>
    <t>LÂMPADA COMPACTA FLUORESCENTE DE 15 W, BASE E27 - FORNECIMENTO E INSTALAÇÃO. AF_02/2020</t>
  </si>
  <si>
    <t xml:space="preserve"> 92025 </t>
  </si>
  <si>
    <t>INTERRUPTOR SIMPLES (1 MÓDULO) COM 2 TOMADAS DE EMBUTIR 2P+T 10 A,  INCLUINDO SUPORTE E PLACA - FORNECIMENTO E INSTALAÇÃO. AF_12/2015</t>
  </si>
  <si>
    <t xml:space="preserve"> 97593 </t>
  </si>
  <si>
    <t>LUMINÁRIA TIPO SPOT, DE SOBREPOR, COM 1 LÂMPADA FLUORESCENTE DE 15 W, SEM REATOR - FORNECIMENTO E INSTALAÇÃO. AF_02/2020</t>
  </si>
  <si>
    <t xml:space="preserve"> 91170 </t>
  </si>
  <si>
    <t>FIXAÇÃO DE TUBOS HORIZONTAIS DE PVC, CPVC OU COBRE DIÂMETROS MENORES OU IGUAIS A 40 MM OU ELETROCALHAS ATÉ 150MM DE LARGURA, COM ABRAÇADEIRA METÁLICA RÍGIDA TIPO D 1/2, FIXADA EM PERFILADO EM LAJE. AF_05/2015</t>
  </si>
  <si>
    <t>INHI - INSTALAÇÕES HIDROS SANITÁRIAS</t>
  </si>
  <si>
    <t xml:space="preserve"> 91173 </t>
  </si>
  <si>
    <t>FIXAÇÃO DE TUBOS VERTICAIS DE PPR DIÂMETROS MENORES OU IGUAIS A 40 MM COM ABRAÇADEIRA METÁLICA RÍGIDA TIPO D 1/2", FIXADA EM PERFILADO EM ALVENARIA. AF_05/2015</t>
  </si>
  <si>
    <t xml:space="preserve"> 93358 </t>
  </si>
  <si>
    <t>ESCAVAÇÃO MANUAL DE VALA COM PROFUNDIDADE MENOR OU IGUAL A 1,30 M. AF_03/2016</t>
  </si>
  <si>
    <t>MOVT - MOVIMENTO DE TERRA</t>
  </si>
  <si>
    <t xml:space="preserve"> 96995 </t>
  </si>
  <si>
    <t>REATERRO MANUAL APILOADO COM SOQUETE. AF_10/2017</t>
  </si>
  <si>
    <t>PINT - PINTURAS</t>
  </si>
  <si>
    <t xml:space="preserve"> 88262 </t>
  </si>
  <si>
    <t>CARPINTEIRO DE FORMAS COM ENCARGOS COMPLEMENTARES</t>
  </si>
  <si>
    <t>SEDI - SERVIÇOS DIVERSOS</t>
  </si>
  <si>
    <t>H</t>
  </si>
  <si>
    <t xml:space="preserve"> 00004513 </t>
  </si>
  <si>
    <t>CAIBRO DE MADEIRA NAO APARELHADA 5 X 5 CM (2 X 2 ") PINUS, MISTA OU EQUIVALENTE DA REGIAO</t>
  </si>
  <si>
    <t xml:space="preserve"> 00010891 </t>
  </si>
  <si>
    <t>EXTINTOR DE INCENDIO PORTATIL COM CARGA DE PO QUIMICO SECO (PQS) DE 4 KG, CLASSE BC</t>
  </si>
  <si>
    <t xml:space="preserve"> 00010886 </t>
  </si>
  <si>
    <t>EXTINTOR DE INCENDIO PORTATIL COM CARGA DE AGUA PRESSURIZADA DE 10 L, CLASSE A</t>
  </si>
  <si>
    <t xml:space="preserve"> 00011587 </t>
  </si>
  <si>
    <t>FORRO DE PVC LISO, BRANCO, REGUA DE 10 CM, ESPESSURA DE 8 MM A 10 MM (COM COLOCACAO / SEM ESTRUTURA METALICA)</t>
  </si>
  <si>
    <t xml:space="preserve"> 00011455 </t>
  </si>
  <si>
    <t>FECHO / TRINCO / FERROLHO FIO REDONDO, DE SOBREPOR, 8", EM ACO GALVANIZADO / ZINCADO</t>
  </si>
  <si>
    <t xml:space="preserve"> 00006193 </t>
  </si>
  <si>
    <t>TABUA DE MADEIRA NAO APARELHADA *2,5 X 20* CM, CEDRINHO OU EQUIVALENTE DA REGIAO</t>
  </si>
  <si>
    <t>URBA - URBANIZAÇÃO</t>
  </si>
  <si>
    <t xml:space="preserve"> 89032 </t>
  </si>
  <si>
    <t>TRATOR DE ESTEIRAS, POTÊNCIA 100 HP, PESO OPERACIONAL 9,4 T, COM LÂMINA 2,19 M3 - CHP DIURNO. AF_06/2014</t>
  </si>
  <si>
    <t>CHOR - CUSTOS HORÁRIOS DE MÁQUINAS E EQUIPAMENTOS</t>
  </si>
  <si>
    <t xml:space="preserve"> 89031 </t>
  </si>
  <si>
    <t>TRATOR DE ESTEIRAS, POTÊNCIA 100 HP, PESO OPERACIONAL 9,4 T, COM LÂMINA 2,19 M3 - CHI DIURNO. AF_06/2014</t>
  </si>
  <si>
    <t>CHI</t>
  </si>
  <si>
    <t xml:space="preserve"> 88316 </t>
  </si>
  <si>
    <t>SERVENTE COM ENCARGOS COMPLEMENTARES</t>
  </si>
  <si>
    <t xml:space="preserve"> 88441 </t>
  </si>
  <si>
    <t>JARDINEIRO COM ENCARGOS COMPLEMENTARES</t>
  </si>
  <si>
    <t xml:space="preserve"> 5811 </t>
  </si>
  <si>
    <t>CAMINHÃO BASCULANTE 6 M3, PESO BRUTO TOTAL 16.000 KG, CARGA ÚTIL MÁXIMA 13.071 KG, DISTÂNCIA ENTRE EIXOS 4,80 M, POTÊNCIA 230 CV INCLUSIVE CAÇAMBA METÁLICA - CHP DIURNO. AF_06/2014</t>
  </si>
  <si>
    <t xml:space="preserve"> 5940 </t>
  </si>
  <si>
    <t>PÁ CARREGADEIRA SOBRE RODAS, POTÊNCIA LÍQUIDA 128 HP, CAPACIDADE DA CAÇAMBA 1,7 A 2,8 M3, PESO OPERACIONAL 11632 KG - CHP DIURNO. AF_06/2014</t>
  </si>
  <si>
    <t>TRAN - TRANSPORTES, CARGAS E DESCARGAS</t>
  </si>
  <si>
    <t xml:space="preserve"> 67826 </t>
  </si>
  <si>
    <t>CAMINHÃO BASCULANTE 6 M3 TOCO, PESO BRUTO TOTAL 16.000 KG, CARGA ÚTIL MÁXIMA 11.130 KG, DISTÂNCIA ENTRE EIXOS 5,36 M, POTÊNCIA 185 CV, INCLUSIVE CAÇAMBA METÁLICA - CHP DIURNO. AF_06/2014</t>
  </si>
  <si>
    <t xml:space="preserve"> 67827 </t>
  </si>
  <si>
    <t>CAMINHÃO BASCULANTE 6 M3 TOCO, PESO BRUTO TOTAL 16.000 KG, CARGA ÚTIL MÁXIMA 11.130 KG, DISTÂNCIA ENTRE EIXOS 5,36 M, POTÊNCIA 185 CV, INCLUSIVE CAÇAMBA METÁLICA - CHI DIURNO. AF_06/2014</t>
  </si>
  <si>
    <t>SERP - SERVIÇOS PRELIMINARES</t>
  </si>
  <si>
    <t xml:space="preserve"> 88264 </t>
  </si>
  <si>
    <t>ELETRICISTA COM ENCARGOS COMPLEMENTARES</t>
  </si>
  <si>
    <t xml:space="preserve"> 00004815 </t>
  </si>
  <si>
    <t>BALDE VERMELHO PARA SINALIZACAO DE VIAS</t>
  </si>
  <si>
    <t xml:space="preserve"> 00002705 </t>
  </si>
  <si>
    <t>ENERGIA ELETRICA ATE 2000 KWH INDUSTRIAL, SEM DEMANDA</t>
  </si>
  <si>
    <t>KW/H</t>
  </si>
  <si>
    <t xml:space="preserve"> 00000939 </t>
  </si>
  <si>
    <t>FIO DE COBRE, SOLIDO, CLASSE 1, ISOLACAO EM PVC/A, ANTICHAMA BWF-B, 450/750V, SECAO NOMINAL 2,5 MM2</t>
  </si>
  <si>
    <t xml:space="preserve"> 00003753 </t>
  </si>
  <si>
    <t>LAMPADA FLUORESCENTE TUBULAR T10, DE 20 OU 40 W, BIVOLT</t>
  </si>
  <si>
    <t xml:space="preserve"> 00012294 </t>
  </si>
  <si>
    <t>SOQUETE DE PORCELANA BASE E27, PARA USO AO TEMPO, PARA LAMPADAS</t>
  </si>
  <si>
    <t>Edificações</t>
  </si>
  <si>
    <t xml:space="preserve"> 11046 </t>
  </si>
  <si>
    <t>PINUS - PONTALETE DE 3" X 3" - BRUTO</t>
  </si>
  <si>
    <t xml:space="preserve"> 11066 </t>
  </si>
  <si>
    <t>PINUS - SARRAFO DE 1" X 4" - BRUTO</t>
  </si>
  <si>
    <t xml:space="preserve"> 17515 </t>
  </si>
  <si>
    <t>PREGO 18 X 27 COMUM - POLIDO</t>
  </si>
  <si>
    <t>Kg</t>
  </si>
  <si>
    <t xml:space="preserve"> 38043 </t>
  </si>
  <si>
    <t>TELA POLIETILENO P/ PROTEÇÃO DE FACHADA-TRAMA 2,2MM</t>
  </si>
  <si>
    <t xml:space="preserve"> 2014 </t>
  </si>
  <si>
    <t>AJUDANTE DE CARPINTEIRO (SGSP)</t>
  </si>
  <si>
    <t xml:space="preserve"> 2013 </t>
  </si>
  <si>
    <t>CARPINTEIRO (SGSP)</t>
  </si>
  <si>
    <t>SERT - SERVIÇOS TÉCNICOS</t>
  </si>
  <si>
    <t xml:space="preserve"> 74022/006 </t>
  </si>
  <si>
    <t>ENSAIO DE GRANULOMETRIA POR PENEIRAMENTO - SOLOS</t>
  </si>
  <si>
    <t xml:space="preserve"> 74022/008 </t>
  </si>
  <si>
    <t>ENSAIO DE LIMITE DE LIQUIDEZ - SOLOS</t>
  </si>
  <si>
    <t xml:space="preserve"> 74022/009 </t>
  </si>
  <si>
    <t>ENSAIO DE LIMITE DE PLASTICIDADE - SOLOS</t>
  </si>
  <si>
    <t xml:space="preserve"> 74022/010 </t>
  </si>
  <si>
    <t>ENSAIO DE COMPACTACAO - AMOSTRAS NAO TRABALHADAS - ENERGIA NORMAL - SOLOS</t>
  </si>
  <si>
    <t xml:space="preserve"> 74022/018 </t>
  </si>
  <si>
    <t>ENSAIO DE MASSA ESPECIFICA - IN SITU - EMPREGO DO OLEO - SOLOS</t>
  </si>
  <si>
    <t xml:space="preserve"> 74022/019 </t>
  </si>
  <si>
    <t>ENSAIO DE INDICE DE SUPORTE CALIFORNIA - AMOSTRAS NAO TRABALHADAS - ENERGIA NORMAL - SOLOS</t>
  </si>
  <si>
    <t>Infraestrutura</t>
  </si>
  <si>
    <t xml:space="preserve"> 82030 </t>
  </si>
  <si>
    <t>MATERIAIS E EQUIPAMENTOS PARA SONDAGEM</t>
  </si>
  <si>
    <t>VB</t>
  </si>
  <si>
    <t xml:space="preserve"> 1178 </t>
  </si>
  <si>
    <t>AUXILIAR DE LABORATÓRIO (SGSP)</t>
  </si>
  <si>
    <t xml:space="preserve"> 1180 </t>
  </si>
  <si>
    <t>LABORATORISTA (SGSP)</t>
  </si>
  <si>
    <t xml:space="preserve"> 1128 </t>
  </si>
  <si>
    <t>ENGENHEIRO/ ARQUITETO JÚNIOR - ATÉ 5 ANOS DE EXPERIÊNCIA (SGSP)</t>
  </si>
  <si>
    <t>DROP - DRENAGEM/OBRAS DE CONTENÇÃO / POÇOS DE VISITA E CAIXAS</t>
  </si>
  <si>
    <t xml:space="preserve"> 00002745 </t>
  </si>
  <si>
    <t>MADEIRA ROLICA SEM TRATAMENTO, EUCALIPTO OU EQUIVALENTE DA REGIAO, H = 3 M, D = 8 A 11 CM (PARA ESCORAMENTO)</t>
  </si>
  <si>
    <t xml:space="preserve"> 00005069 </t>
  </si>
  <si>
    <t>PREGO DE ACO POLIDO COM CABECA 17 X 27 (2 1/2 X 11)</t>
  </si>
  <si>
    <t xml:space="preserve"> 00004472 </t>
  </si>
  <si>
    <t>VIGA DE MADEIRA NAO APARELHADA *6 X 16* CM, MACARANDUBA, ANGELIM OU EQUIVALENTE DA REGIAO</t>
  </si>
  <si>
    <t xml:space="preserve"> 93419 </t>
  </si>
  <si>
    <t>GRUPO GERADOR REBOCÁVEL, POTÊNCIA 66 KVA, MOTOR A DIESEL - MANUTENÇÃO. AF_03/2016</t>
  </si>
  <si>
    <t xml:space="preserve"> 93418 </t>
  </si>
  <si>
    <t>GRUPO GERADOR REBOCÁVEL, POTÊNCIA 66 KVA, MOTOR A DIESEL - JUROS. AF_03/2016</t>
  </si>
  <si>
    <t xml:space="preserve"> 93417 </t>
  </si>
  <si>
    <t>GRUPO GERADOR REBOCÁVEL, POTÊNCIA 66 KVA, MOTOR A DIESEL - DEPRECIAÇÃO. AF_03/2016</t>
  </si>
  <si>
    <t xml:space="preserve"> 93420 </t>
  </si>
  <si>
    <t>GRUPO GERADOR REBOCÁVEL, POTÊNCIA 66 KVA, MOTOR A DIESEL - MATERIAIS NA OPERAÇÃO. AF_03/2016</t>
  </si>
  <si>
    <t xml:space="preserve"> 5800 </t>
  </si>
  <si>
    <t>BOMBA SUBMERSÍVEL ELÉTRICA TRIFÁSICA, POTÊNCIA 2,96 HP, Ø ROTOR 144 MM SEMI-ABERTO, BOCAL DE SAÍDA Ø 2, HM/Q = 2 MCA / 38,8 M3/H A 28 MCA / 5 M3/H - MANUTENÇÃO. AF_06/2014</t>
  </si>
  <si>
    <t xml:space="preserve"> 53866 </t>
  </si>
  <si>
    <t>BOMBA SUBMERSÍVEL ELÉTRICA TRIFÁSICA, POTÊNCIA 2,96 HP, Ø ROTOR 144 MM SEMI-ABERTO, BOCAL DE SAÍDA Ø 2, HM/Q = 2 MCA / 38,8 M3/H A 28 MCA / 5 M3/H - MATERIAIS NA OPERAÇÃO. AF_06/2014</t>
  </si>
  <si>
    <t xml:space="preserve"> 89019 </t>
  </si>
  <si>
    <t>BOMBA SUBMERSÍVEL ELÉTRICA TRIFÁSICA, POTÊNCIA 2,96 HP, Ø ROTOR 144 MM SEMI-ABERTO, BOCAL DE SAÍDA Ø 2, HM/Q = 2 MCA / 38,8 M3/H A 28 MCA / 5 M3/H - DEPRECIAÇÃO. AF_06/2014</t>
  </si>
  <si>
    <t xml:space="preserve"> 89020 </t>
  </si>
  <si>
    <t>BOMBA SUBMERSÍVEL ELÉTRICA TRIFÁSICA, POTÊNCIA 2,96 HP, Ø ROTOR 144 MM SEMI-ABERTO, BOCAL DE SAÍDA Ø 2, HM/Q = 2 MCA / 38,8 M3/H A 28 MCA / 5 M3/H - JUROS. AF_06/2014</t>
  </si>
  <si>
    <t xml:space="preserve"> B.01.000.010146 </t>
  </si>
  <si>
    <t>Servente</t>
  </si>
  <si>
    <t xml:space="preserve"> S.01.000.080271 </t>
  </si>
  <si>
    <t>Escavadeira hidráulica sobre pneus 0,25m³</t>
  </si>
  <si>
    <t xml:space="preserve"> S.01.000.080311 </t>
  </si>
  <si>
    <t>Caminhão basculante diesel com capacidade de 5 m³ - COND. D</t>
  </si>
  <si>
    <t xml:space="preserve"> 90991 </t>
  </si>
  <si>
    <t>ESCAVADEIRA HIDRÁULICA SOBRE ESTEIRAS, CAÇAMBA 0,80 M3, PESO OPERACIONAL 17,8 T, POTÊNCIA LÍQUIDA 110 HP - CHP DIURNO. AF_10/2014</t>
  </si>
  <si>
    <t xml:space="preserve"> 5631 </t>
  </si>
  <si>
    <t>ESCAVADEIRA HIDRÁULICA SOBRE ESTEIRAS, CAÇAMBA 0,80 M3, PESO OPERACIONAL 17 T, POTENCIA BRUTA 111 HP - CHP DIURNO. AF_06/2014</t>
  </si>
  <si>
    <t xml:space="preserve"> 5632 </t>
  </si>
  <si>
    <t>ESCAVADEIRA HIDRÁULICA SOBRE ESTEIRAS, CAÇAMBA 0,80 M3, PESO OPERACIONAL 17 T, POTENCIA BRUTA 111 HP - CHI DIURNO. AF_06/2014</t>
  </si>
  <si>
    <t xml:space="preserve"> 5901 </t>
  </si>
  <si>
    <t>CAMINHÃO PIPA 10.000 L TRUCADO, PESO BRUTO TOTAL 23.000 KG, CARGA ÚTIL MÁXIMA 15.935 KG, DISTÂNCIA ENTRE EIXOS 4,8 M, POTÊNCIA 230 CV, INCLUSIVE TANQUE DE AÇO PARA TRANSPORTE DE ÁGUA - CHP DIURNO. AF_06/2014</t>
  </si>
  <si>
    <t xml:space="preserve"> 91533 </t>
  </si>
  <si>
    <t>COMPACTADOR DE SOLOS DE PERCUSSÃO (SOQUETE) COM MOTOR A GASOLINA 4 TEMPOS, POTÊNCIA 4 CV - CHP DIURNO. AF_08/2015</t>
  </si>
  <si>
    <t xml:space="preserve"> 5903 </t>
  </si>
  <si>
    <t>CAMINHÃO PIPA 10.000 L TRUCADO, PESO BRUTO TOTAL 23.000 KG, CARGA ÚTIL MÁXIMA 15.935 KG, DISTÂNCIA ENTRE EIXOS 4,8 M, POTÊNCIA 230 CV, INCLUSIVE TANQUE DE AÇO PARA TRANSPORTE DE ÁGUA - CHI DIURNO. AF_06/2014</t>
  </si>
  <si>
    <t xml:space="preserve"> 91534 </t>
  </si>
  <si>
    <t>COMPACTADOR DE SOLOS DE PERCUSSÃO (SOQUETE) COM MOTOR A GASOLINA 4 TEMPOS, POTÊNCIA 4 CV - CHI DIURNO. AF_08/2015</t>
  </si>
  <si>
    <t xml:space="preserve"> 00006079 </t>
  </si>
  <si>
    <t>ARGILA, ARGILA VERMELHA OU ARGILA ARENOSA (RETIRADA NA JAZIDA, SEM TRANSPORTE)</t>
  </si>
  <si>
    <t>PAVI - PAVIMENTAÇÃO</t>
  </si>
  <si>
    <t xml:space="preserve"> 5851 </t>
  </si>
  <si>
    <t>TRATOR DE ESTEIRAS, POTÊNCIA 150 HP, PESO OPERACIONAL 16,7 T, COM RODA MOTRIZ ELEVADA E LÂMINA 3,18 M3 - CHP DIURNO. AF_06/2014</t>
  </si>
  <si>
    <t xml:space="preserve"> 5853 </t>
  </si>
  <si>
    <t>TRATOR DE ESTEIRAS, POTÊNCIA 150 HP, PESO OPERACIONAL 16,7 T, COM RODA MOTRIZ ELEVADA E LÂMINA 3,18 M3 - CHI DIURNO. AF_06/2014</t>
  </si>
  <si>
    <t xml:space="preserve"> 5684 </t>
  </si>
  <si>
    <t>ROLO COMPACTADOR VIBRATÓRIO DE UM CILINDRO AÇO LISO, POTÊNCIA 80 HP, PESO OPERACIONAL MÁXIMO 8,1 T, IMPACTO DINÂMICO 16,15 / 9,5 T, LARGURA DE TRABALHO 1,68 M - CHP DIURNO. AF_06/2014</t>
  </si>
  <si>
    <t xml:space="preserve"> 5932 </t>
  </si>
  <si>
    <t>MOTONIVELADORA POTÊNCIA BÁSICA LÍQUIDA (PRIMEIRA MARCHA) 125 HP, PESO BRUTO 13032 KG, LARGURA DA LÂMINA DE 3,7 M - CHP DIURNO. AF_06/2014</t>
  </si>
  <si>
    <t xml:space="preserve"> 96020 </t>
  </si>
  <si>
    <t>TRATOR DE PNEUS COM POTÊNCIA DE 122 CV, TRAÇÃO 4X4, COM GRADE DE DISCOS ACOPLADA - CHP DIURNO. AF_02/2017</t>
  </si>
  <si>
    <t xml:space="preserve"> 5934 </t>
  </si>
  <si>
    <t>MOTONIVELADORA POTÊNCIA BÁSICA LÍQUIDA (PRIMEIRA MARCHA) 125 HP, PESO BRUTO 13032 KG, LARGURA DA LÂMINA DE 3,7 M - CHI DIURNO. AF_06/2014</t>
  </si>
  <si>
    <t xml:space="preserve"> 96021 </t>
  </si>
  <si>
    <t>TRATOR DE PNEUS COM POTÊNCIA DE 122 CV, TRAÇÃO 4X4, COM GRADE DE DISCOS ACOPLADA - CHI DIURNO. AF_02/2017</t>
  </si>
  <si>
    <t xml:space="preserve"> 73436 </t>
  </si>
  <si>
    <t>ROLO COMPACTADOR VIBRATÓRIO PÉ DE CARNEIRO PARA SOLOS, POTÊNCIA 80 HP, PESO OPERACIONAL SEM/COM LASTRO 7,4 / 8,8 T, LARGURA DE TRABALHO 1,68 M - CHP DIURNO. AF_02/2016</t>
  </si>
  <si>
    <t xml:space="preserve"> 5685 </t>
  </si>
  <si>
    <t>ROLO COMPACTADOR VIBRATÓRIO DE UM CILINDRO AÇO LISO, POTÊNCIA 80 HP, PESO OPERACIONAL MÁXIMO 8,1 T, IMPACTO DINÂMICO 16,15 / 9,5 T, LARGURA DE TRABALHO 1,68 M - CHI DIURNO. AF_06/2014</t>
  </si>
  <si>
    <t xml:space="preserve"> 93244 </t>
  </si>
  <si>
    <t>ROLO COMPACTADOR VIBRATÓRIO PÉ DE CARNEIRO PARA SOLOS, POTÊNCIA 80 HP, PESO OPERACIONAL SEM/COM LASTRO 7,4 / 8,8 T, LARGURA DE TRABALHO 1,68 M - CHI DIURNO. AF_02/2016</t>
  </si>
  <si>
    <t xml:space="preserve"> 00004730 </t>
  </si>
  <si>
    <t>PEDRA DE MAO OU PEDRA RACHAO PARA ARRIMO/FUNDACAO (POSTO PEDREIRA/FORNECEDOR, SEM FRETE)</t>
  </si>
  <si>
    <t xml:space="preserve"> 91278 </t>
  </si>
  <si>
    <t>PLACA VIBRATÓRIA REVERSÍVEL COM MOTOR 4 TEMPOS A GASOLINA, FORÇA CENTRÍFUGA DE 25 KN (2500 KGF), POTÊNCIA 5,5 CV - CHI DIURNO. AF_08/2015</t>
  </si>
  <si>
    <t xml:space="preserve"> 91277 </t>
  </si>
  <si>
    <t>PLACA VIBRATÓRIA REVERSÍVEL COM MOTOR 4 TEMPOS A GASOLINA, FORÇA CENTRÍFUGA DE 25 KN (2500 KGF), POTÊNCIA 5,5 CV - CHP DIURNO. AF_08/2015</t>
  </si>
  <si>
    <t xml:space="preserve"> 88309 </t>
  </si>
  <si>
    <t>PEDREIRO COM ENCARGOS COMPLEMENTARES</t>
  </si>
  <si>
    <t xml:space="preserve"> 00004718 </t>
  </si>
  <si>
    <t>PEDRA BRITADA N. 2 (19 A 38 MM) POSTO PEDREIRA/FORNECEDOR, SEM FRETE</t>
  </si>
  <si>
    <t xml:space="preserve"> 00004721 </t>
  </si>
  <si>
    <t>PEDRA BRITADA N. 1 (9,5 a 19 MM) POSTO PEDREIRA/FORNECEDOR, SEM FRETE</t>
  </si>
  <si>
    <t xml:space="preserve"> 94968 </t>
  </si>
  <si>
    <t>CONCRETO MAGRO PARA LASTRO, TRAÇO 1:4,5:4,5 (CIMENTO/ AREIA MÉDIA/ BRITA 1)  - PREPARO MECÂNICO COM BETONEIRA 600 L. AF_07/2016</t>
  </si>
  <si>
    <t>ASTU - ASSENTAMENTO DE TUBOS E PECAS</t>
  </si>
  <si>
    <t xml:space="preserve"> 88246 </t>
  </si>
  <si>
    <t>ASSENTADOR DE TUBOS COM ENCARGOS COMPLEMENTARES</t>
  </si>
  <si>
    <t xml:space="preserve"> COTAÇÃO RL08 </t>
  </si>
  <si>
    <t>ADUELA EM CONCRETO ARMADO 3,00 X 2,00 X 0,20</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</si>
  <si>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</si>
  <si>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</si>
  <si>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</si>
  <si>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</si>
  <si>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88239 </t>
  </si>
  <si>
    <t>AJUDANTE DE CARPINTEIRO COM ENCARGOS COMPLEMENTARES</t>
  </si>
  <si>
    <t xml:space="preserve"> 00002692 </t>
  </si>
  <si>
    <t>DESMOLDANTE PROTETOR PARA FORMAS DE MADEIRA, DE BASE OLEOSA EMULSIONADA EM AGUA</t>
  </si>
  <si>
    <t xml:space="preserve"> 00004491 </t>
  </si>
  <si>
    <t>PONTALETE DE MADEIRA NAO APARELHADA *7,5 X 7,5* CM (3 X 3 ") PINUS, MISTA OU EQUIVALENTE DA REGIAO</t>
  </si>
  <si>
    <t xml:space="preserve"> 00040304 </t>
  </si>
  <si>
    <t>PREGO DE ACO POLIDO COM CABECA DUPLA 17 X 27 (2 1/2 X 11)</t>
  </si>
  <si>
    <t xml:space="preserve"> 00005073 </t>
  </si>
  <si>
    <t>PREGO DE ACO POLIDO COM CABECA 17 X 24 (2 1/4 X 11)</t>
  </si>
  <si>
    <t xml:space="preserve"> 00004517 </t>
  </si>
  <si>
    <t>SARRAFO DE MADEIRA NAO APARELHADA *2,5 X 7,5* CM (1 X 3 ") PINUS, MISTA OU EQUIVALENTE DA REGIAO</t>
  </si>
  <si>
    <t xml:space="preserve"> 00006189 </t>
  </si>
  <si>
    <t>TABUA DE MADEIRA NAO APARELHADA *2,5 X 30* CM, CEDRINHO OU EQUIVALENTE DA REGIAO</t>
  </si>
  <si>
    <t xml:space="preserve"> B.01.000.010121 </t>
  </si>
  <si>
    <t>Ferreiro/armador</t>
  </si>
  <si>
    <t xml:space="preserve"> B.01.000.010122 </t>
  </si>
  <si>
    <t>Ajudante de ferreiro</t>
  </si>
  <si>
    <t xml:space="preserve"> B.06.000.021560 </t>
  </si>
  <si>
    <t>Tela soldada, diversas bitolas</t>
  </si>
  <si>
    <t xml:space="preserve"> E.02.000.027010 </t>
  </si>
  <si>
    <t>Arame recozido nº 18 BWG</t>
  </si>
  <si>
    <t xml:space="preserve"> B.06.000.021525 </t>
  </si>
  <si>
    <t>Aço CA-50-A $MD bitolas</t>
  </si>
  <si>
    <t xml:space="preserve"> C.04.000.020559 </t>
  </si>
  <si>
    <t>Concreto usinado bombeado fck= 30 MPa, slump 8 ± 1cm, brita 1 e 2</t>
  </si>
  <si>
    <t xml:space="preserve"> 92803 </t>
  </si>
  <si>
    <t>CORTE E DOBRA DE AÇO CA-50, DIÂMETRO DE 10,0 MM. AF_06/2022</t>
  </si>
  <si>
    <t xml:space="preserve"> 94970 </t>
  </si>
  <si>
    <t>CONCRETO FCK = 20MPA, TRAÇO 1:2,7:3 (CIMENTO/ AREIA MÉDIA/ BRITA 1)  - PREPARO MECÂNICO COM BETONEIRA 600 L. AF_07/2016</t>
  </si>
  <si>
    <t xml:space="preserve"> D.02.000.021021 </t>
  </si>
  <si>
    <t>Tábua cedrinho 25 mm x 300 mm de 3ª</t>
  </si>
  <si>
    <t xml:space="preserve"> D.02.000.021014 </t>
  </si>
  <si>
    <t>Sarrafo de cedrinho 2,5 x 5 cm</t>
  </si>
  <si>
    <t xml:space="preserve"> D.03.000.021034 </t>
  </si>
  <si>
    <t>Chapa compensada cola fenólica plastificada de 18mm (2,44 x 1,22)m</t>
  </si>
  <si>
    <t xml:space="preserve"> F.12.000.028008 </t>
  </si>
  <si>
    <t>Desmoldante para formas</t>
  </si>
  <si>
    <t>l</t>
  </si>
  <si>
    <t xml:space="preserve"> 88238 </t>
  </si>
  <si>
    <t>AJUDANTE DE ARMADOR COM ENCARGOS COMPLEMENTARES</t>
  </si>
  <si>
    <t xml:space="preserve"> 88245 </t>
  </si>
  <si>
    <t>ARMADOR COM ENCARGOS COMPLEMENTARES</t>
  </si>
  <si>
    <t xml:space="preserve"> 00043053 </t>
  </si>
  <si>
    <t>ACO CA-25, 6,3 MM OU 8,0 MM, VERGALHAO</t>
  </si>
  <si>
    <t xml:space="preserve"> 00043054 </t>
  </si>
  <si>
    <t>ACO CA-25, 10,0 MM, OU 12,5 MM, OU 16,0 MM, OU 20,0 MM, OU 25,0 MM, VERGALHAO</t>
  </si>
  <si>
    <t xml:space="preserve"> B.01.000.010139 </t>
  </si>
  <si>
    <t>Pedreiro</t>
  </si>
  <si>
    <t xml:space="preserve"> C.07.000.022538 </t>
  </si>
  <si>
    <t>Bloco de concreto estrutural de 19 x 19 x 39 cm, classe B (resistência &gt; ou = 4 Mpa)</t>
  </si>
  <si>
    <t>un</t>
  </si>
  <si>
    <t xml:space="preserve"> B.03.000.020505 </t>
  </si>
  <si>
    <t>Cal hidratada (saco de 20 kg)</t>
  </si>
  <si>
    <t xml:space="preserve"> 88831 </t>
  </si>
  <si>
    <t>BETONEIRA CAPACIDADE NOMINAL DE 400 L, CAPACIDADE DE MISTURA 280 L, MOTOR ELÉTRICO TRIFÁSICO POTÊNCIA DE 2 CV, SEM CARREGADOR - CHI DIURNO. AF_10/2014</t>
  </si>
  <si>
    <t xml:space="preserve"> 88830 </t>
  </si>
  <si>
    <t>BETONEIRA CAPACIDADE NOMINAL DE 400 L, CAPACIDADE DE MISTURA 280 L, MOTOR ELÉTRICO TRIFÁSICO POTÊNCIA DE 2 CV, SEM CARREGADOR - CHP DIURNO. AF_10/2014</t>
  </si>
  <si>
    <t xml:space="preserve"> 88377 </t>
  </si>
  <si>
    <t>OPERADOR DE BETONEIRA ESTACIONÁRIA/MISTURADOR COM ENCARGOS COMPLEMENTARES</t>
  </si>
  <si>
    <t xml:space="preserve"> 00000367 </t>
  </si>
  <si>
    <t>AREIA GROSSA - POSTO JAZIDA/FORNECEDOR (RETIRADO NA JAZIDA, SEM TRANSPORTE)</t>
  </si>
  <si>
    <t xml:space="preserve"> 00001106 </t>
  </si>
  <si>
    <t>CAL HIDRATADA CH-I PARA ARGAMASSAS</t>
  </si>
  <si>
    <t xml:space="preserve"> 00001379 </t>
  </si>
  <si>
    <t>CIMENTO PORTLAND COMPOSTO CP II-32</t>
  </si>
  <si>
    <t xml:space="preserve"> 00004720 </t>
  </si>
  <si>
    <t>PEDRA BRITADA N. 0, OU PEDRISCO (4,8 A 9,5 MM) POSTO PEDREIRA/FORNECEDOR, SEM FRETE</t>
  </si>
  <si>
    <t>IMPE - IMPERMEABILIZAÇÕES E PROTEÇÕES DIVERSAS</t>
  </si>
  <si>
    <t xml:space="preserve"> 88243 </t>
  </si>
  <si>
    <t>AJUDANTE ESPECIALIZADO COM ENCARGOS COMPLEMENTARES</t>
  </si>
  <si>
    <t xml:space="preserve"> 88270 </t>
  </si>
  <si>
    <t>IMPERMEABILIZADOR COM ENCARGOS COMPLEMENTARES</t>
  </si>
  <si>
    <t xml:space="preserve"> 00000626 </t>
  </si>
  <si>
    <t>MANTA LIQUIDA DE BASE ASFALTICA MODIFICADA COM A ADICAO DE ELASTOMEROS DILUIDOS EM SOLVENTE ORGANICO, APLICACAO A FRIO (MEMBRANA IMPERMEABILIZANTE ASFASTICA)</t>
  </si>
  <si>
    <t xml:space="preserve"> 00007334 </t>
  </si>
  <si>
    <t>ADITIVO ADESIVO LIQUIDO PARA ARGAMASSAS DE REVESTIMENTOS CIMENTICIOS</t>
  </si>
  <si>
    <t xml:space="preserve"> 00000370 </t>
  </si>
  <si>
    <t>AREIA MEDIA - POSTO JAZIDA/FORNECEDOR (RETIRADO NA JAZIDA, SEM TRANSPORTE)</t>
  </si>
  <si>
    <t xml:space="preserve"> 88310 </t>
  </si>
  <si>
    <t>PINTOR COM ENCARGOS COMPLEMENTARES</t>
  </si>
  <si>
    <t xml:space="preserve"> 00007356 </t>
  </si>
  <si>
    <t>TINTA ACRILICA PREMIUM, COR BRANCO FOSCO</t>
  </si>
  <si>
    <t xml:space="preserve"> 88629 </t>
  </si>
  <si>
    <t>ARGAMASSA TRAÇO 1:3 (EM VOLUME DE CIMENTO E AREIA MÉDIA ÚMIDA), PREPARO MANUAL. AF_08/2019</t>
  </si>
  <si>
    <t xml:space="preserve"> 00004059 </t>
  </si>
  <si>
    <t>MEIO-FIO OU GUIA DE CONCRETO, PRE-MOLDADO, COMP 1 M, *30 X 15/ 12* CM (H X L1/L2)</t>
  </si>
  <si>
    <t xml:space="preserve"> 96463 </t>
  </si>
  <si>
    <t>ROLO COMPACTADOR DE PNEUS, ESTATICO, PRESSAO VARIAVEL, POTENCIA 110 HP, PESO SEM/COM LASTRO 10,8/27 T, LARGURA DE ROLAGEM 2,30 M - CHP DIURNO. AF_06/2017</t>
  </si>
  <si>
    <t xml:space="preserve"> 96464 </t>
  </si>
  <si>
    <t>ROLO COMPACTADOR DE PNEUS, ESTATICO, PRESSAO VARIAVEL, POTENCIA 110 HP, PESO SEM/COM LASTRO 10,8/27 T, LARGURA DE ROLAGEM 2,30 M - CHI DIURNO. AF_06/2017</t>
  </si>
  <si>
    <t xml:space="preserve"> 5921 </t>
  </si>
  <si>
    <t>GRADE DE DISCO REBOCÁVEL COM 20 DISCOS 24" X 6 MM COM PNEUS PARA TRANSPORTE - CHP DIURNO. AF_06/2014</t>
  </si>
  <si>
    <t xml:space="preserve"> 89036 </t>
  </si>
  <si>
    <t>TRATOR DE PNEUS, POTÊNCIA 85 CV, TRAÇÃO 4X4, PESO COM LASTRO DE 4.675 KG - CHI DIURNO. AF_06/2014</t>
  </si>
  <si>
    <t xml:space="preserve"> 89035 </t>
  </si>
  <si>
    <t>TRATOR DE PNEUS, POTÊNCIA 85 CV, TRAÇÃO 4X4, PESO COM LASTRO DE 4.675 KG - CHP DIURNO. AF_06/2014</t>
  </si>
  <si>
    <t xml:space="preserve"> 5923 </t>
  </si>
  <si>
    <t>GRADE DE DISCO REBOCÁVEL COM 20 DISCOS 24" X 6 MM COM PNEUS PARA TRANSPORTE - CHI DIURNO. AF_06/2014</t>
  </si>
  <si>
    <t xml:space="preserve"> F.03.000.024705 </t>
  </si>
  <si>
    <t>Asfalto diluído CM-30</t>
  </si>
  <si>
    <t xml:space="preserve"> S.01.000.080312 </t>
  </si>
  <si>
    <t>Caminhão espargidor, capacidade de 6.000 litros - COND.D</t>
  </si>
  <si>
    <t xml:space="preserve"> 83362 </t>
  </si>
  <si>
    <t>ESPARGIDOR DE ASFALTO PRESSURIZADO, TANQUE 6 M3 COM ISOLAÇÃO TÉRMICA, AQUECIDO COM 2 MAÇARICOS, COM BARRA ESPARGIDORA 3,60 M, MONTADO SOBRE CAMINHÃO  TOCO, PBT 14.300 KG, POTÊNCIA 185 CV - CHP DIURNO. AF_08/2015</t>
  </si>
  <si>
    <t xml:space="preserve"> 5839 </t>
  </si>
  <si>
    <t>VASSOURA MECÂNICA REBOCÁVEL COM ESCOVA CILÍNDRICA, LARGURA ÚTIL DE VARRIMENTO DE 2,44 M - CHP DIURNO. AF_06/2014</t>
  </si>
  <si>
    <t xml:space="preserve"> 5841 </t>
  </si>
  <si>
    <t>VASSOURA MECÂNICA REBOCÁVEL COM ESCOVA CILÍNDRICA, LARGURA ÚTIL DE VARRIMENTO DE 2,44 M - CHI DIURNO. AF_06/2014</t>
  </si>
  <si>
    <t xml:space="preserve"> 91486 </t>
  </si>
  <si>
    <t>ESPARGIDOR DE ASFALTO PRESSURIZADO, TANQUE 6 M3 COM ISOLAÇÃO TÉRMICA, AQUECIDO COM 2 MAÇARICOS, COM BARRA ESPARGIDORA 3,60 M, MONTADO SOBRE CAMINHÃO  TOCO, PBT 14.300 KG, POTÊNCIA 185 CV - CHI DIURNO. AF_08/2015</t>
  </si>
  <si>
    <t xml:space="preserve"> 00041903 </t>
  </si>
  <si>
    <t>EMULSAO ASFALTICA CATIONICA RR-2C PARA USO EM PAVIMENTACAO ASFALTICA (COLETADO CAIXA NA ANP ACRESCIDO DE ICMS)</t>
  </si>
  <si>
    <t xml:space="preserve"> 5835 </t>
  </si>
  <si>
    <t>VIBROACABADORA DE ASFALTO SOBRE ESTEIRAS, LARGURA DE PAVIMENTAÇÃO 1,90 M A 5,30 M, POTÊNCIA 105 HP CAPACIDADE 450 T/H - CHP DIURNO. AF_11/2014</t>
  </si>
  <si>
    <t xml:space="preserve"> 96157 </t>
  </si>
  <si>
    <t>TRATOR DE PNEUS COM POTÊNCIA DE 85 CV, TRAÇÃO 4X4, COM VASSOURA MECÂNICA ACOPLADA - CHP DIURNO. AF_03/2017</t>
  </si>
  <si>
    <t xml:space="preserve"> 95631 </t>
  </si>
  <si>
    <t>ROLO COMPACTADOR VIBRATORIO TANDEM, ACO LISO, POTENCIA 125 HP, PESO SEM/COM LASTRO 10,20/11,65 T, LARGURA DE TRABALHO 1,73 M - CHP DIURNO. AF_11/2016</t>
  </si>
  <si>
    <t xml:space="preserve"> 5837 </t>
  </si>
  <si>
    <t>VIBROACABADORA DE ASFALTO SOBRE ESTEIRAS, LARGURA DE PAVIMENTAÇÃO 1,90 M A 5,30 M, POTÊNCIA 105 HP CAPACIDADE 450 T/H - CHI DIURNO. AF_11/2014</t>
  </si>
  <si>
    <t xml:space="preserve"> 91386 </t>
  </si>
  <si>
    <t>CAMINHÃO BASCULANTE 10 M3, TRUCADO CABINE SIMPLES, PESO BRUTO TOTAL 23.000 KG, CARGA ÚTIL MÁXIMA 15.935 KG, DISTÂNCIA ENTRE EIXOS 4,80 M, POTÊNCIA 230 CV INCLUSIVE CAÇAMBA METÁLICA - CHP DIURNO. AF_06/2014</t>
  </si>
  <si>
    <t xml:space="preserve"> 95632 </t>
  </si>
  <si>
    <t>ROLO COMPACTADOR VIBRATORIO TANDEM, ACO LISO, POTENCIA 125 HP, PESO SEM/COM LASTRO 10,20/11,65 T, LARGURA DE TRABALHO 1,73 M - CHI DIURNO. AF_11/2016</t>
  </si>
  <si>
    <t xml:space="preserve"> 96155 </t>
  </si>
  <si>
    <t>TRATOR DE PNEUS COM POTÊNCIA DE 85 CV, TRAÇÃO 4X4, COM VASSOURA MECÂNICA ACOPLADA - CHI DIURNO. AF_02/2017</t>
  </si>
  <si>
    <t xml:space="preserve"> 88314 </t>
  </si>
  <si>
    <t>RASTELEIRO COM ENCARGOS COMPLEMENTARES</t>
  </si>
  <si>
    <t xml:space="preserve"> 00041965 </t>
  </si>
  <si>
    <t>CONCRETO BETUMINOSO USINADO A QUENTE (CBUQ) PARA PAVIMENTACAO ASFALTICA, PADRAO DNIT, PARA BINDER, COM CAP 50/70 - AQUISICAO POSTO USINA</t>
  </si>
  <si>
    <t>T</t>
  </si>
  <si>
    <t xml:space="preserve"> 00001518 </t>
  </si>
  <si>
    <t>CONCRETO BETUMINOSO USINADO A QUENTE (CBUQ) PARA PAVIMENTACAO ASFALTICA, PADRAO DNIT, FAIXA C, COM CAP 50/70 - AQUISICAO POSTO USINA</t>
  </si>
  <si>
    <t xml:space="preserve"> 5942 </t>
  </si>
  <si>
    <t>PÁ CARREGADEIRA SOBRE RODAS, POTÊNCIA LÍQUIDA 128 HP, CAPACIDADE DA CAÇAMBA 1,7 A 2,8 M3, PESO OPERACIONAL 11632 KG - CHI DIURNO. AF_06/2014</t>
  </si>
  <si>
    <t xml:space="preserve"> 96393 </t>
  </si>
  <si>
    <t>USINAGEM DE BRITA GRADUADA SIMPLES. AF_03/2020</t>
  </si>
  <si>
    <t xml:space="preserve"> 00043132 </t>
  </si>
  <si>
    <t>ARAME RECOZIDO 16 BWG, D = 1,65 MM (0,016 KG/M) OU 18 BWG, D = 1,25 MM (0,01 KG/M)</t>
  </si>
  <si>
    <t xml:space="preserve"> 00021141 </t>
  </si>
  <si>
    <t>TELA DE ACO SOLDADA NERVURADA, CA-60, Q-92, (1,48 KG/M2), DIAMETRO DO FIO = 4,2 MM, LARGURA = 2,45 X 60 M DE COMPRIMENTO, ESPACAMENTO DA MALHA = 15  X 15 CM</t>
  </si>
  <si>
    <t xml:space="preserve"> 00042407 </t>
  </si>
  <si>
    <t>TRELICA NERVURADA (ESPACADOR), ALTURA = 120,0 MM, DIAMETRO DOS BANZOS INFERIORES E SUPERIOR = 6,0 MM, DIAMETRO DA DIAGONAL = 4,2 MM</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</si>
  <si>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</si>
  <si>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</si>
  <si>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</si>
  <si>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</si>
  <si>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00001525 </t>
  </si>
  <si>
    <t>CONCRETO USINADO BOMBEAVEL, CLASSE DE RESISTENCIA C30, COM BRITA 0 E 1, SLUMP = 100 +/- 20 MM, INCLUI SERVICO DE BOMBEAMENTO (NBR 8953)</t>
  </si>
  <si>
    <t xml:space="preserve"> C.01.000.092024 </t>
  </si>
  <si>
    <t>Corte de junta dilatação com serra disco diamantado na largura de 3 mm, profundidade de 3 cm, para piso de concreto ou alta resistência 3,0 mm x 3,0 cm</t>
  </si>
  <si>
    <t xml:space="preserve"> 88251 </t>
  </si>
  <si>
    <t>AUXILIAR DE SERRALHEIRO COM ENCARGOS COMPLEMENTARES</t>
  </si>
  <si>
    <t xml:space="preserve"> 88315 </t>
  </si>
  <si>
    <t>SERRALHEIRO COM ENCARGOS COMPLEMENTARES</t>
  </si>
  <si>
    <t xml:space="preserve"> 00001332 </t>
  </si>
  <si>
    <t>CHAPA DE ACO GROSSA, ASTM A36, E = 3/8 " (9,53 MM) 74,69 KG/M2</t>
  </si>
  <si>
    <t xml:space="preserve"> 00011002 </t>
  </si>
  <si>
    <t>ELETRODO REVESTIDO AWS - E6013, DIAMETRO IGUAL A 2,50 MM</t>
  </si>
  <si>
    <t xml:space="preserve"> 00011964 </t>
  </si>
  <si>
    <t>PARAFUSO DE ACO TIPO CHUMBADOR PARABOLT, DIAMETRO 3/8", COMPRIMENTO 75 MM</t>
  </si>
  <si>
    <t xml:space="preserve"> 00021010 </t>
  </si>
  <si>
    <t>TUBO ACO GALVANIZADO COM COSTURA, CLASSE LEVE, DN 25 MM ( 1"),  E = 2,65 MM,  *2,11* KG/M (NBR 5580)</t>
  </si>
  <si>
    <t xml:space="preserve"> 00021012 </t>
  </si>
  <si>
    <t>TUBO ACO GALVANIZADO COM COSTURA, CLASSE LEVE, DN 40 MM ( 1 1/2"),  E = 3,00 MM,  *3,48* KG/M (NBR 5580)</t>
  </si>
  <si>
    <t xml:space="preserve"> 00021009 </t>
  </si>
  <si>
    <t>TUBO ACO GALVANIZADO COM COSTURA, CLASSE LEVE, DN 20 MM ( 3/4"),  E = 2,25 MM,  *1,3* KG/M (NBR 5580)</t>
  </si>
  <si>
    <t xml:space="preserve"> 00021011 </t>
  </si>
  <si>
    <t>TUBO ACO GALVANIZADO COM COSTURA, CLASSE LEVE, DN 32 MM ( 1 1/4"),  E = 2,65 MM,  *2,71* KG/M (NBR 5580)</t>
  </si>
  <si>
    <t>150 DIAS</t>
  </si>
  <si>
    <t>180 DIAS</t>
  </si>
  <si>
    <t>Porcentagem</t>
  </si>
  <si>
    <t>Custo</t>
  </si>
  <si>
    <t>Porcentagem Acumulado</t>
  </si>
  <si>
    <t>100,0%</t>
  </si>
  <si>
    <t>Custo Acumulado</t>
  </si>
  <si>
    <t>3.419,8125000</t>
  </si>
  <si>
    <t>14,0000000</t>
  </si>
  <si>
    <t>7.725,34</t>
  </si>
  <si>
    <t>108.154,76</t>
  </si>
  <si>
    <t>14,80%</t>
  </si>
  <si>
    <t xml:space="preserve"> 00004221 </t>
  </si>
  <si>
    <t>OLEO DIESEL COMBUSTIVEL COMUM</t>
  </si>
  <si>
    <t>6.196,5084287</t>
  </si>
  <si>
    <t>81,2426400</t>
  </si>
  <si>
    <t>60,9319800</t>
  </si>
  <si>
    <t>637,0000000</t>
  </si>
  <si>
    <t xml:space="preserve"> 00010685 </t>
  </si>
  <si>
    <t>ESCAVADEIRA HIDRAULICA SOBRE ESTEIRAS, CACAMBA 0,80M3, PESO OPERACIONAL 17T, POTENCIA BRUTA 111HP</t>
  </si>
  <si>
    <t>Equipamento</t>
  </si>
  <si>
    <t>0,0206524</t>
  </si>
  <si>
    <t>24.180,0525556</t>
  </si>
  <si>
    <t>30,5704000</t>
  </si>
  <si>
    <t xml:space="preserve"> 00006111 </t>
  </si>
  <si>
    <t>SERVENTE DE OBRAS</t>
  </si>
  <si>
    <t>1.192,5000000</t>
  </si>
  <si>
    <t xml:space="preserve"> 00001213 </t>
  </si>
  <si>
    <t>CARPINTEIRO DE FORMAS</t>
  </si>
  <si>
    <t>18,3752000</t>
  </si>
  <si>
    <t xml:space="preserve"> 00037370 </t>
  </si>
  <si>
    <t>ALIMENTACAO - HORISTA (COLETADO CAIXA)</t>
  </si>
  <si>
    <t>Outros</t>
  </si>
  <si>
    <t>4,33</t>
  </si>
  <si>
    <t>450,4271960</t>
  </si>
  <si>
    <t>1,34%</t>
  </si>
  <si>
    <t>502,4422400</t>
  </si>
  <si>
    <t xml:space="preserve"> 00004234 </t>
  </si>
  <si>
    <t>OPERADOR DE ESCAVADEIRA</t>
  </si>
  <si>
    <t>71,7310000</t>
  </si>
  <si>
    <t>84,31</t>
  </si>
  <si>
    <t>6.047,64</t>
  </si>
  <si>
    <t>0,83%</t>
  </si>
  <si>
    <t xml:space="preserve"> 00044058 </t>
  </si>
  <si>
    <t>CAMINHAO TOCO, PESO BRUTO TOTAL 16000 KG, CARGA UTIL MAXIMA 10830 KG, DISTANCIA ENTRE EIXOS 3,56 M, POTENCIA 226 CV (INCLUI CABINE E CHASSI, NAO INCLUI CARROCERIA)</t>
  </si>
  <si>
    <t>0,0081344</t>
  </si>
  <si>
    <t>11,2071960</t>
  </si>
  <si>
    <t xml:space="preserve"> 00037758 </t>
  </si>
  <si>
    <t>CAMINHAO TRUCADO, PESO BRUTO TOTAL 23000 KG, CARGA UTIL MAXIMA 15285 KG, DISTANCIA ENTRE EIXOS 4,80 M, POTENCIA 326 CV (INCLUI CABINE E CHASSI, NAO INCLUI CARROCERIA)</t>
  </si>
  <si>
    <t>0,0060672</t>
  </si>
  <si>
    <t>4,8000000</t>
  </si>
  <si>
    <t>0,59%</t>
  </si>
  <si>
    <t>193,5968000</t>
  </si>
  <si>
    <t xml:space="preserve"> 00004230 </t>
  </si>
  <si>
    <t>OPERADOR DE MAQUINAS E TRATORES DIVERSOS (TERRAPLANAGEM)</t>
  </si>
  <si>
    <t>0,54%</t>
  </si>
  <si>
    <t>412,1977600</t>
  </si>
  <si>
    <t>164,8000000</t>
  </si>
  <si>
    <t>262,1709000</t>
  </si>
  <si>
    <t>86,4300000</t>
  </si>
  <si>
    <t xml:space="preserve"> 00020020 </t>
  </si>
  <si>
    <t>MOTORISTA DE CAMINHAO-BASCULANTE</t>
  </si>
  <si>
    <t>0,40%</t>
  </si>
  <si>
    <t>227,6218000</t>
  </si>
  <si>
    <t xml:space="preserve"> 00037372 </t>
  </si>
  <si>
    <t>EXAMES - HORISTA (COLETADO CAIXA)</t>
  </si>
  <si>
    <t xml:space="preserve"> 00007624 </t>
  </si>
  <si>
    <t>TRATOR DE ESTEIRAS, POTENCIA DE 150 HP, PESO OPERACIONAL DE 16,7 T, COM RODA MOTRIZ ELEVADA E LAMINA COM CONTATO DE 3,18M3</t>
  </si>
  <si>
    <t>0,0013945</t>
  </si>
  <si>
    <t>89,17%</t>
  </si>
  <si>
    <t xml:space="preserve"> 00037752 </t>
  </si>
  <si>
    <t>CAMINHAO TOCO, PESO BRUTO TOTAL 16000 KG, CARGA UTIL MAXIMA 11130 KG, DISTANCIA ENTRE EIXOS 5,36 M, POTENCIA 185 CV (INCLUI CABINE E CHASSI, NAO INCLUI CARROCERIA)</t>
  </si>
  <si>
    <t>0,0039937</t>
  </si>
  <si>
    <t>0,32%</t>
  </si>
  <si>
    <t xml:space="preserve"> 00037371 </t>
  </si>
  <si>
    <t>TRANSPORTE - HORISTA (COLETADO CAIXA)</t>
  </si>
  <si>
    <t>Serviços</t>
  </si>
  <si>
    <t>0,31%</t>
  </si>
  <si>
    <t>47,9468000</t>
  </si>
  <si>
    <t>0,28%</t>
  </si>
  <si>
    <t>357,7500000</t>
  </si>
  <si>
    <t>0,27%</t>
  </si>
  <si>
    <t xml:space="preserve"> 00004750 </t>
  </si>
  <si>
    <t>PEDREIRO</t>
  </si>
  <si>
    <t>0,25%</t>
  </si>
  <si>
    <t xml:space="preserve"> 00004093 </t>
  </si>
  <si>
    <t>MOTORISTA DE CAMINHAO</t>
  </si>
  <si>
    <t>0,24%</t>
  </si>
  <si>
    <t xml:space="preserve"> 00004237 </t>
  </si>
  <si>
    <t>OPERADOR DE TRATOR - EXCLUSIVE AGROPECUARIA</t>
  </si>
  <si>
    <t>0,23%</t>
  </si>
  <si>
    <t>6,0660600</t>
  </si>
  <si>
    <t xml:space="preserve"> 00004090 </t>
  </si>
  <si>
    <t>MOTONIVELADORA POTENCIA BASICA LIQUIDA (PRIMEIRA MARCHA) 125 HP , PESO BRUTO 13843 KG, LARGURA DA LAMINA DE 3,7 M</t>
  </si>
  <si>
    <t>0,0011032</t>
  </si>
  <si>
    <t>0,22%</t>
  </si>
  <si>
    <t>58,8000000</t>
  </si>
  <si>
    <t xml:space="preserve"> 00010646 </t>
  </si>
  <si>
    <t>ROLO COMPACTADOR VIBRATORIO DE UM CILINDRO, ACO LISO, POTENCIA 80 HP, PESO OPERACIONAL MAXIMO 8,1 T, IMPACTO DINAMICO 16,15/9,5 T, LARGURA TRABALHO 1,68 M</t>
  </si>
  <si>
    <t>0,0020160</t>
  </si>
  <si>
    <t>91,93%</t>
  </si>
  <si>
    <t>47,5200000</t>
  </si>
  <si>
    <t>0,20%</t>
  </si>
  <si>
    <t>92,14%</t>
  </si>
  <si>
    <t>4,7700000</t>
  </si>
  <si>
    <t>57,2400000</t>
  </si>
  <si>
    <t xml:space="preserve"> 00000245 </t>
  </si>
  <si>
    <t>AUXILIAR DE LABORATORISTA DE SOLOS E DE CONCRETO</t>
  </si>
  <si>
    <t xml:space="preserve"> 00004262 </t>
  </si>
  <si>
    <t>PA CARREGADEIRA SOBRE RODAS, POTENCIA LIQUIDA 128 HP, CAPACIDADE DA CACAMBA DE 1,7 A 2,8 M3, PESO OPERACIONAL MAXIMO DE 11632 KG</t>
  </si>
  <si>
    <t>0,0016340</t>
  </si>
  <si>
    <t xml:space="preserve"> 00010488 </t>
  </si>
  <si>
    <t>VIBROACABADORA DE ASFALTO SOBRE ESTEIRAS, LARG. PAVIMENT. 1,90 A 5,3 M, POT. 78 KW/105 HP, CAP. 450 T/H</t>
  </si>
  <si>
    <t>0,0004494</t>
  </si>
  <si>
    <t>0,19%</t>
  </si>
  <si>
    <t xml:space="preserve"> 00036482 </t>
  </si>
  <si>
    <t>ESCAVADEIRA HIDRAULICA SOBRE ESTEIRAS, CACAMBA  0,80 M3, PESO OPERACIONAL 17,8 T, POTENCIA LIQUIDA 110 HP</t>
  </si>
  <si>
    <t>0,0012942</t>
  </si>
  <si>
    <t>0,18%</t>
  </si>
  <si>
    <t>12,6755520</t>
  </si>
  <si>
    <t>103,56</t>
  </si>
  <si>
    <t>1.312,68</t>
  </si>
  <si>
    <t>37,5000000</t>
  </si>
  <si>
    <t xml:space="preserve"> 00036500 </t>
  </si>
  <si>
    <t>GRUPO GERADOR REBOCAVEL, POTENCIA *66* KVA, MOTOR A DIESEL</t>
  </si>
  <si>
    <t>0,0092848</t>
  </si>
  <si>
    <t>0,17%</t>
  </si>
  <si>
    <t xml:space="preserve"> 00037733 </t>
  </si>
  <si>
    <t>CACAMBA METALICA BASCULANTE COM CAPACIDADE DE 6 M3 (INCLUI MONTAGEM, NAO INCLUI CAMINHAO)</t>
  </si>
  <si>
    <t>0,0173555</t>
  </si>
  <si>
    <t xml:space="preserve"> 00043491 </t>
  </si>
  <si>
    <t>EPI - FAMILIA SERVENTE - HORISTA (ENCARGOS COMPLEMENTARES - COLETADO CAIXA)</t>
  </si>
  <si>
    <t>107,9540000</t>
  </si>
  <si>
    <t xml:space="preserve"> 00044502 </t>
  </si>
  <si>
    <t>RASTELEIRO HORISTA</t>
  </si>
  <si>
    <t>0,15%</t>
  </si>
  <si>
    <t xml:space="preserve"> 00007153 </t>
  </si>
  <si>
    <t>TECNICO EM LABORATORIO E CAMPO DE CONSTRUCAO CIVIL</t>
  </si>
  <si>
    <t>0,14%</t>
  </si>
  <si>
    <t xml:space="preserve"> 00014511 </t>
  </si>
  <si>
    <t>ROLO COMPACTADOR DE PNEUS, ESTATICO, PRESSAO VARIAVEL, POTENCIA 110 HP, PESO SEM/COM LASTRO 10,8/27 T, LARGURA DE ROLAGEM 2,30 M</t>
  </si>
  <si>
    <t>0,0008214</t>
  </si>
  <si>
    <t>58,0800000</t>
  </si>
  <si>
    <t>0,13%</t>
  </si>
  <si>
    <t xml:space="preserve"> 00003992 </t>
  </si>
  <si>
    <t>TABUA DE MADEIRA APARELHADA *2,5 X 30* CM, MACARANDUBA, ANGELIM OU EQUIVALENTE DA REGIAO</t>
  </si>
  <si>
    <t>20,1563948</t>
  </si>
  <si>
    <t xml:space="preserve"> 00004238 </t>
  </si>
  <si>
    <t>OPERADOR DE ROLO COMPACTADOR</t>
  </si>
  <si>
    <t>156,0000000</t>
  </si>
  <si>
    <t xml:space="preserve"> 00004741 </t>
  </si>
  <si>
    <t>PO DE PEDRA (POSTO PEDREIRA/FORNECEDOR, SEM FRETE)</t>
  </si>
  <si>
    <t>10,8829800</t>
  </si>
  <si>
    <t>84,72</t>
  </si>
  <si>
    <t>922,01</t>
  </si>
  <si>
    <t xml:space="preserve"> 00043483 </t>
  </si>
  <si>
    <t>EPI - FAMILIA CARPINTEIRO DE FORMAS - HORISTA (ENCARGOS COMPLEMENTARES - COLETADO CAIXA)</t>
  </si>
  <si>
    <t>552,3567134</t>
  </si>
  <si>
    <t>0,12%</t>
  </si>
  <si>
    <t xml:space="preserve"> 00000378 </t>
  </si>
  <si>
    <t>ARMADOR</t>
  </si>
  <si>
    <t xml:space="preserve"> 00037736 </t>
  </si>
  <si>
    <t>TANQUE DE ACO CARBONO NAO REVESTIDO, PARA TRANSPORTE DE AGUA COM CAPACIDADE DE 10 M3, COM BOMBA CENTRIFUGA POR TOMADA DE FORCA, VAZAO MAXIMA *75* M3/H (INCLUI MONTAGEM, NAO INCLUI CAMINHAO)</t>
  </si>
  <si>
    <t>0,0073765</t>
  </si>
  <si>
    <t>33,4680000</t>
  </si>
  <si>
    <t>7,7400000</t>
  </si>
  <si>
    <t xml:space="preserve"> 00006110 </t>
  </si>
  <si>
    <t>SERRALHEIRO</t>
  </si>
  <si>
    <t>28,0000000</t>
  </si>
  <si>
    <t>6,3000000</t>
  </si>
  <si>
    <t>0,11%</t>
  </si>
  <si>
    <t xml:space="preserve"> 00004433 </t>
  </si>
  <si>
    <t>PECA DE MADEIRA NAO APARELHADA *7,5 X 7,5* CM (3 X 3 ") MACARANDUBA, ANGELIM OU EQUIVALENTE DA REGIAO</t>
  </si>
  <si>
    <t>19,4349874</t>
  </si>
  <si>
    <t>35,1960000</t>
  </si>
  <si>
    <t>0,10%</t>
  </si>
  <si>
    <t xml:space="preserve"> 00043488 </t>
  </si>
  <si>
    <t>EPI - FAMILIA OPERADOR ESCAVADEIRA - HORISTA (ENCARGOS COMPLEMENTARES - COLETADO CAIXA)</t>
  </si>
  <si>
    <t>777,1998622</t>
  </si>
  <si>
    <t xml:space="preserve"> 00014626 </t>
  </si>
  <si>
    <t>ROLO COMPACTADOR VIBRATORIO TANDEM, ACO LISO, POTENCIA 125 HP, PESO SEM/COM LASTRO 10,20/11,65 T, LARGURA DE TRABALHO 1,73 M</t>
  </si>
  <si>
    <t>0,0006493</t>
  </si>
  <si>
    <t>6,0000000</t>
  </si>
  <si>
    <t>7,7696100</t>
  </si>
  <si>
    <t>90,17</t>
  </si>
  <si>
    <t>700,59</t>
  </si>
  <si>
    <t xml:space="preserve"> 00004783 </t>
  </si>
  <si>
    <t>PINTOR</t>
  </si>
  <si>
    <t>0,09%</t>
  </si>
  <si>
    <t>23,5044000</t>
  </si>
  <si>
    <t>6,8964222</t>
  </si>
  <si>
    <t>89,70</t>
  </si>
  <si>
    <t>618,61</t>
  </si>
  <si>
    <t>0,08%</t>
  </si>
  <si>
    <t>30,0000000</t>
  </si>
  <si>
    <t xml:space="preserve"> 00043467 </t>
  </si>
  <si>
    <t>FERRAMENTAS - FAMILIA SERVENTE - HORISTA (ENCARGOS COMPLEMENTARES - COLETADO CAIXA)</t>
  </si>
  <si>
    <t xml:space="preserve"> 00004239 </t>
  </si>
  <si>
    <t>OPERADOR DE MOTONIVELADORA</t>
  </si>
  <si>
    <t>12,1380000</t>
  </si>
  <si>
    <t xml:space="preserve"> 00000252 </t>
  </si>
  <si>
    <t>AJUDANTE DE SERRALHEIRO</t>
  </si>
  <si>
    <t xml:space="preserve"> 00007622 </t>
  </si>
  <si>
    <t>TRATOR DE ESTEIRAS, POTENCIA DE 100 HP, PESO OPERACIONAL DE 9,4 T, COM LAMINA COM CAPACIDADE DE 2,19 M3</t>
  </si>
  <si>
    <t>0,0004134</t>
  </si>
  <si>
    <t xml:space="preserve"> 00037666 </t>
  </si>
  <si>
    <t>OPERADOR DE BETONEIRA ESTACIONARIA / MISTURADOR</t>
  </si>
  <si>
    <t>0,07%</t>
  </si>
  <si>
    <t xml:space="preserve"> 00036511 </t>
  </si>
  <si>
    <t>TRATOR DE PNEUS COM POTENCIA DE 122 CV, TRACAO 4 X 4, PESO COM LASTRO DE 4510 KG</t>
  </si>
  <si>
    <t>0,0010687</t>
  </si>
  <si>
    <t xml:space="preserve"> 00004222 </t>
  </si>
  <si>
    <t>GASOLINA COMUM</t>
  </si>
  <si>
    <t>79,0977540</t>
  </si>
  <si>
    <t xml:space="preserve"> 00043681 </t>
  </si>
  <si>
    <t>CHAPA/PAINEL DE MADEIRA COMPENSADA RESINADA (MADEIRITE RESINADO ROSA) PARA FORMA DE CONCRETO, DE 2200 x 1100 MM, E = 8 A 12 MM</t>
  </si>
  <si>
    <t>11,7996971</t>
  </si>
  <si>
    <t>98,34%</t>
  </si>
  <si>
    <t>15,6480000</t>
  </si>
  <si>
    <t>30,40</t>
  </si>
  <si>
    <t>475,70</t>
  </si>
  <si>
    <t>6,1740000</t>
  </si>
  <si>
    <t>0,06%</t>
  </si>
  <si>
    <t>118,8000000</t>
  </si>
  <si>
    <t xml:space="preserve"> 00000034 </t>
  </si>
  <si>
    <t>ACO CA-50, 10,0 MM, VERGALHAO</t>
  </si>
  <si>
    <t>36,2304000</t>
  </si>
  <si>
    <t xml:space="preserve"> 00012873 </t>
  </si>
  <si>
    <t>IMPERMEABILIZADOR</t>
  </si>
  <si>
    <t>5,2156189</t>
  </si>
  <si>
    <t>0,05%</t>
  </si>
  <si>
    <t xml:space="preserve"> 00007194 </t>
  </si>
  <si>
    <t>TELHA DE FIBROCIMENTO ONDULADA E = 6 MM, DE 2,44 X 1,10 M (SEM AMIANTO)</t>
  </si>
  <si>
    <t>11,7212232</t>
  </si>
  <si>
    <t>5,5560000</t>
  </si>
  <si>
    <t xml:space="preserve"> 00011190 </t>
  </si>
  <si>
    <t>JANELA BASCULANTE, ACO, COM BATENTE/REQUADRO, 60 X 60 CM (SEM VIDROS)</t>
  </si>
  <si>
    <t>1,2584340</t>
  </si>
  <si>
    <t xml:space="preserve"> 00007640 </t>
  </si>
  <si>
    <t>TRATOR DE PNEUS COM POTENCIA DE 85 CV, TRACAO 4 X 4, PESO COM LASTRO DE 4675 KG</t>
  </si>
  <si>
    <t>0,0010836</t>
  </si>
  <si>
    <t>333,4632871</t>
  </si>
  <si>
    <t>0,97</t>
  </si>
  <si>
    <t>0,04%</t>
  </si>
  <si>
    <t xml:space="preserve"> 00043459 </t>
  </si>
  <si>
    <t>FERRAMENTAS - FAMILIA CARPINTEIRO DE FORMAS - HORISTA (ENCARGOS COMPLEMENTARES - COLETADO CAIXA)</t>
  </si>
  <si>
    <t>98,99%</t>
  </si>
  <si>
    <t>45,9000000</t>
  </si>
  <si>
    <t>99,03%</t>
  </si>
  <si>
    <t xml:space="preserve"> 00004248 </t>
  </si>
  <si>
    <t>OPERADOR DE PA CARREGADEIRA</t>
  </si>
  <si>
    <t xml:space="preserve"> 00043489 </t>
  </si>
  <si>
    <t>EPI - FAMILIA PEDREIRO - HORISTA (ENCARGOS COMPLEMENTARES - COLETADO CAIXA)</t>
  </si>
  <si>
    <t>204,0538185</t>
  </si>
  <si>
    <t>1,7500000</t>
  </si>
  <si>
    <t>99,15%</t>
  </si>
  <si>
    <t>28,7680800</t>
  </si>
  <si>
    <t>10,2000000</t>
  </si>
  <si>
    <t xml:space="preserve"> 00013458 </t>
  </si>
  <si>
    <t>COMPACTADOR DE SOLOS DE PERCURSAO (SOQUETE) COM MOTOR A GASOLINA 4 TEMPOS DE 4 HP (4 CV)</t>
  </si>
  <si>
    <t>0,0140771</t>
  </si>
  <si>
    <t>60,0000000</t>
  </si>
  <si>
    <t>4,11</t>
  </si>
  <si>
    <t>246,60</t>
  </si>
  <si>
    <t>0,03%</t>
  </si>
  <si>
    <t xml:space="preserve"> 00006117 </t>
  </si>
  <si>
    <t>CARPINTEIRO AUXILIAR</t>
  </si>
  <si>
    <t xml:space="preserve"> 00004425 </t>
  </si>
  <si>
    <t>VIGA DE MADEIRA NAO APARELHADA 6 X 12 CM, MACARANDUBA, ANGELIM OU EQUIVALENTE DA REGIAO</t>
  </si>
  <si>
    <t>5,4762384</t>
  </si>
  <si>
    <t>99,36%</t>
  </si>
  <si>
    <t xml:space="preserve"> 00006114 </t>
  </si>
  <si>
    <t>AJUDANTE DE ARMADOR</t>
  </si>
  <si>
    <t>99,39%</t>
  </si>
  <si>
    <t>9,9632000</t>
  </si>
  <si>
    <t>99,42%</t>
  </si>
  <si>
    <t>2,6127920</t>
  </si>
  <si>
    <t>99,45%</t>
  </si>
  <si>
    <t>6,7073600</t>
  </si>
  <si>
    <t>99,48%</t>
  </si>
  <si>
    <t xml:space="preserve"> 00044500 </t>
  </si>
  <si>
    <t>OPERADOR DE PAVIMENTADORA / MESA VIBROACABADORA HORISTA</t>
  </si>
  <si>
    <t>99,50%</t>
  </si>
  <si>
    <t xml:space="preserve"> 00037373 </t>
  </si>
  <si>
    <t>SEGURO - HORISTA (COLETADO CAIXA)</t>
  </si>
  <si>
    <t>Taxas</t>
  </si>
  <si>
    <t>0,08</t>
  </si>
  <si>
    <t>99,53%</t>
  </si>
  <si>
    <t xml:space="preserve"> 00043465 </t>
  </si>
  <si>
    <t>FERRAMENTAS - FAMILIA PEDREIRO - HORISTA (ENCARGOS COMPLEMENTARES - COLETADO CAIXA)</t>
  </si>
  <si>
    <t>99,56%</t>
  </si>
  <si>
    <t xml:space="preserve"> 00002436 </t>
  </si>
  <si>
    <t>ELETRICISTA</t>
  </si>
  <si>
    <t xml:space="preserve"> 00039025 </t>
  </si>
  <si>
    <t>PORTA DE ABRIR EM ALUMINIO TIPO VENEZIANA, ACABAMENTO ANODIZADO NATURAL, SEM GUARNICAO/ALIZAR/VISTA, 87 X 210 CM</t>
  </si>
  <si>
    <t>0,2081929</t>
  </si>
  <si>
    <t xml:space="preserve"> 00014250 </t>
  </si>
  <si>
    <t>ENERGIA ELETRICA COMERCIAL, BAIXA TENSAO, RELATIVA AO CONSUMO DE ATE 100 KWH, INCLUINDO ICMS, PIS/PASEP E COFINS</t>
  </si>
  <si>
    <t>210,5600000</t>
  </si>
  <si>
    <t>0,85</t>
  </si>
  <si>
    <t>0,02%</t>
  </si>
  <si>
    <t xml:space="preserve"> 00044503 </t>
  </si>
  <si>
    <t>JARDINEIRO (HORISTA)</t>
  </si>
  <si>
    <t xml:space="preserve"> 00014513 </t>
  </si>
  <si>
    <t>ROLO COMPACTADOR PE DE CARNEIRO VIBRATORIO, POTENCIA 80 HP, PESO OPERACIONAL SEM/COM LASTRO 7,4/8,8 T, LARGURA DE TRABALHO 1,68 M</t>
  </si>
  <si>
    <t>0,0002193</t>
  </si>
  <si>
    <t>6,3600000</t>
  </si>
  <si>
    <t>20,9064000</t>
  </si>
  <si>
    <t>17,5000000</t>
  </si>
  <si>
    <t>4,9816000</t>
  </si>
  <si>
    <t xml:space="preserve"> 00037754 </t>
  </si>
  <si>
    <t>CAMINHAO TOCO, PESO BRUTO TOTAL 14300 KG, CARGA UTIL MAXIMA 9480 KG, DISTANCIA ENTRE EIXOS 4,80 M, POTENCIA 185 CV (INCLUI CABINE E CHASSI, NAO INCLUI CARROCERIA)</t>
  </si>
  <si>
    <t>0,0002264</t>
  </si>
  <si>
    <t>99,77%</t>
  </si>
  <si>
    <t xml:space="preserve"> 00003799 </t>
  </si>
  <si>
    <t>LUMINARIA DE SOBREPOR EM CHAPA DE ACO PARA 2 LAMPADAS FLUORESCENTES DE *36* W, ALETADA, COMPLETA (LAMPADAS E REATOR INCLUSOS)</t>
  </si>
  <si>
    <t>0,6042000</t>
  </si>
  <si>
    <t>99,79%</t>
  </si>
  <si>
    <t>126,2880000</t>
  </si>
  <si>
    <t>99,81%</t>
  </si>
  <si>
    <t xml:space="preserve"> 00000751 </t>
  </si>
  <si>
    <t>BOMBA SUBMERSIVEL, ELETRICA, TRIFASICA, POTENCIA 2,96 HP, DIAMETRO DO ROTOR 144 MM SEMIABERTO, BOCAL DE SAIDA DIAMETRO DE DUAS POLEGADAS, HM/Q = 2 M / 38,8 M3/H A 28 M / 5 M3/H</t>
  </si>
  <si>
    <t>0,0158592</t>
  </si>
  <si>
    <t xml:space="preserve"> 00040331 </t>
  </si>
  <si>
    <t>ASSENTADOR DE MANILHAS</t>
  </si>
  <si>
    <t>0,01%</t>
  </si>
  <si>
    <t>99,84%</t>
  </si>
  <si>
    <t xml:space="preserve"> 00036529 </t>
  </si>
  <si>
    <t>GRADE DE DISCOS COM CONTROLE REMOTO, REBOCAVEL, COM 24 DISCOS 24" X 6 MM, COM PNEUS PARA TRANSPORTE</t>
  </si>
  <si>
    <t xml:space="preserve"> 00013726 </t>
  </si>
  <si>
    <t>VASSOURA MECANICA REBOCAVEL COM ESCOVA CILINDRICA LARGURA UTIL DE VARRIMENTO = 2,44M</t>
  </si>
  <si>
    <t>0,0009243</t>
  </si>
  <si>
    <t>99,86%</t>
  </si>
  <si>
    <t>21,6000000</t>
  </si>
  <si>
    <t>4,53</t>
  </si>
  <si>
    <t>97,85</t>
  </si>
  <si>
    <t>99,88%</t>
  </si>
  <si>
    <t xml:space="preserve"> 00036888 </t>
  </si>
  <si>
    <t>GUARNICAO/MOLDURA DE ACABAMENTO PARA ESQUADRIA DE ALUMINIO ANODIZADO NATURAL, PARA 1 FACE</t>
  </si>
  <si>
    <t>2,6058922</t>
  </si>
  <si>
    <t xml:space="preserve"> 00034566 </t>
  </si>
  <si>
    <t>BLOCO CONCRETO ESTRUTURAL 14 X 19 X 29 CM, FBK 6 MPA (NBR 6136)</t>
  </si>
  <si>
    <t>19,7343780</t>
  </si>
  <si>
    <t>99,90%</t>
  </si>
  <si>
    <t>26,9732800</t>
  </si>
  <si>
    <t>99,91%</t>
  </si>
  <si>
    <t>3,2874000</t>
  </si>
  <si>
    <t>99,93%</t>
  </si>
  <si>
    <t xml:space="preserve"> 00000242 </t>
  </si>
  <si>
    <t>AJUDANTE ESPECIALIZADO</t>
  </si>
  <si>
    <t>99,94%</t>
  </si>
  <si>
    <t>5,3760000</t>
  </si>
  <si>
    <t>99,95%</t>
  </si>
  <si>
    <t>27,0000000</t>
  </si>
  <si>
    <t>99,96%</t>
  </si>
  <si>
    <t>19,9980000</t>
  </si>
  <si>
    <t>99,97%</t>
  </si>
  <si>
    <t xml:space="preserve"> 00036484 </t>
  </si>
  <si>
    <t>ESPARGIDOR DE ASFALTO PRESSURIZADO, TANQUE 6 M3 COM ISOLACAO TERMICA, AQUECIDO COM 2 MACARICOS, COM BARRA ESPARGIDORA 3,60 M, A SER MONTADO SOBRE CAMINHAO</t>
  </si>
  <si>
    <t>0,0001967</t>
  </si>
  <si>
    <t>6,4800000</t>
  </si>
  <si>
    <t>99,98%</t>
  </si>
  <si>
    <t xml:space="preserve"> 00004302 </t>
  </si>
  <si>
    <t>PARAFUSO ZINCADO ROSCA SOBERBA, CABECA SEXTAVADA, 5/16 " X 250 MM, PARA FIXACAO DE TELHA EM MADEIRA</t>
  </si>
  <si>
    <t>10,8833760</t>
  </si>
  <si>
    <t>99,99%</t>
  </si>
  <si>
    <t>0,3043200</t>
  </si>
  <si>
    <t>100,00%</t>
  </si>
  <si>
    <t xml:space="preserve"> 00043482 </t>
  </si>
  <si>
    <t>EPI - FAMILIA ALMOXARIFE - HORISTA (ENCARGOS COMPLEMENTARES - COLETADO CAIXA)</t>
  </si>
  <si>
    <t>55,1945205</t>
  </si>
  <si>
    <t xml:space="preserve"> 00043490 </t>
  </si>
  <si>
    <t>EPI - FAMILIA PINTOR - HORISTA (ENCARGOS COMPLEMENTARES - COLETADO CAIXA)</t>
  </si>
  <si>
    <t>100,01%</t>
  </si>
  <si>
    <t xml:space="preserve"> 00043466 </t>
  </si>
  <si>
    <t>FERRAMENTAS - FAMILIA PINTOR - HORISTA (ENCARGOS COMPLEMENTARES - COLETADO CAIXA)</t>
  </si>
  <si>
    <t>100,02%</t>
  </si>
  <si>
    <t>44,5097513</t>
  </si>
  <si>
    <t>0,1512000</t>
  </si>
  <si>
    <t>0,00%</t>
  </si>
  <si>
    <t>100,03%</t>
  </si>
  <si>
    <t xml:space="preserve"> 00000247 </t>
  </si>
  <si>
    <t>AJUDANTE DE ELETRICISTA</t>
  </si>
  <si>
    <t>100,04%</t>
  </si>
  <si>
    <t xml:space="preserve"> 00037734 </t>
  </si>
  <si>
    <t>CACAMBA METALICA BASCULANTE COM CAPACIDADE DE 10 M3 (INCLUI MONTAGEM, NAO INCLUI CAMINHAO)</t>
  </si>
  <si>
    <t>0,0003423</t>
  </si>
  <si>
    <t xml:space="preserve"> 00012869 </t>
  </si>
  <si>
    <t>TELHADOR</t>
  </si>
  <si>
    <t>1,2179000</t>
  </si>
  <si>
    <t>100,05%</t>
  </si>
  <si>
    <t xml:space="preserve"> 00009921 </t>
  </si>
  <si>
    <t>USINA MISTURADORA DE SOLOS,  DOSADORES TRIPLOS, CALHA VIBRATORIA CAPACIDADE DE 200 A 500 T/H, POTENCIA DE 75 KW</t>
  </si>
  <si>
    <t>0,0000153</t>
  </si>
  <si>
    <t xml:space="preserve"> 00012266 </t>
  </si>
  <si>
    <t>LUMINARIA SPOT DE SOBREPOR EM ALUMINIO COM ALETA PLASTICA PARA 1 LAMPADA, BASE E27, POTENCIA MAXIMA 40/60 W (NAO INCLUI LAMPADA)</t>
  </si>
  <si>
    <t>1,0800000</t>
  </si>
  <si>
    <t>100,06%</t>
  </si>
  <si>
    <t>0,3900000</t>
  </si>
  <si>
    <t xml:space="preserve"> 00003318 </t>
  </si>
  <si>
    <t>GRADE DE DISCOS MECANICA 20X24" COM 20 DISCOS 24" X 6MM  COM PNEUS PARA TRANSPORTE</t>
  </si>
  <si>
    <t>0,0002073</t>
  </si>
  <si>
    <t xml:space="preserve"> 00002673 </t>
  </si>
  <si>
    <t>ELETRODUTO DE PVC RIGIDO ROSCAVEL DE 1/2 ", SEM LUVA</t>
  </si>
  <si>
    <t>2,9191968</t>
  </si>
  <si>
    <t xml:space="preserve"> 00000142 </t>
  </si>
  <si>
    <t>SELANTE ELASTICO MONOCOMPONENTE A BASE DE POLIURETANO (PU) PARA JUNTAS DIVERSAS</t>
  </si>
  <si>
    <t>310ML</t>
  </si>
  <si>
    <t>0,3358552</t>
  </si>
  <si>
    <t>100,07%</t>
  </si>
  <si>
    <t xml:space="preserve"> 00005061 </t>
  </si>
  <si>
    <t>PREGO DE ACO POLIDO COM CABECA 18 X 27 (2 1/2 X 10)</t>
  </si>
  <si>
    <t>0,6946026</t>
  </si>
  <si>
    <t xml:space="preserve"> 00010535 </t>
  </si>
  <si>
    <t>BETONEIRA CAPACIDADE NOMINAL 400 L, CAPACIDADE DE MISTURA  280 L, MOTOR ELETRICO TRIFASICO 220/380 V POTENCIA 2 CV, SEM CARREGADOR</t>
  </si>
  <si>
    <t>0,0018484</t>
  </si>
  <si>
    <t>0,8100000</t>
  </si>
  <si>
    <t xml:space="preserve"> 00001014 </t>
  </si>
  <si>
    <t>CABO DE COBRE, FLEXIVEL, CLASSE 4 OU 5, ISOLACAO EM PVC/A, ANTICHAMA BWF-B, 1 CONDUTOR, 450/750 V, SECAO NOMINAL 2,5 MM2</t>
  </si>
  <si>
    <t>10,4400000</t>
  </si>
  <si>
    <t>1,06</t>
  </si>
  <si>
    <t>100,08%</t>
  </si>
  <si>
    <t xml:space="preserve"> 00039795 </t>
  </si>
  <si>
    <t>QUADRO DE DISTRIBUICAO, SEM BARRAMENTO, EM PVC, DE EMBUTIR, PARA 6 DISJUNTORES NEMA OU 8 DISJUNTORES DIN</t>
  </si>
  <si>
    <t>0,4358800</t>
  </si>
  <si>
    <t xml:space="preserve"> 00043484 </t>
  </si>
  <si>
    <t>EPI - FAMILIA ELETRICISTA - HORISTA (ENCARGOS COMPLEMENTARES - COLETADO CAIXA)</t>
  </si>
  <si>
    <t xml:space="preserve"> 00036397 </t>
  </si>
  <si>
    <t>BETONEIRA, CAPACIDADE NOMINAL 600 L, CAPACIDADE DE MISTURA  360L, MOTOR ELETRICO TRIFASICO 220/380V, POTENCIA 4CV, EXCLUSO CARREGADOR</t>
  </si>
  <si>
    <t>0,0003497</t>
  </si>
  <si>
    <t xml:space="preserve"> 00002386 </t>
  </si>
  <si>
    <t>DISJUNTOR TIPO NEMA, MONOPOLAR 35  ATE  50 A, TENSAO MAXIMA DE 240 V</t>
  </si>
  <si>
    <t>0,3024000</t>
  </si>
  <si>
    <t>25,71</t>
  </si>
  <si>
    <t>7,77</t>
  </si>
  <si>
    <t xml:space="preserve"> 00043464 </t>
  </si>
  <si>
    <t>FERRAMENTAS - FAMILIA OPERADOR ESCAVADEIRA - HORISTA (ENCARGOS COMPLEMENTARES - COLETADO CAIXA)</t>
  </si>
  <si>
    <t>0,01</t>
  </si>
  <si>
    <t xml:space="preserve"> 00002696 </t>
  </si>
  <si>
    <t>ENCANADOR OU BOMBEIRO HIDRAULICO</t>
  </si>
  <si>
    <t xml:space="preserve"> 00043460 </t>
  </si>
  <si>
    <t>FERRAMENTAS - FAMILIA ELETRICISTA - HORISTA (ENCARGOS COMPLEMENTARES - COLETADO CAIXA)</t>
  </si>
  <si>
    <t>100,09%</t>
  </si>
  <si>
    <t xml:space="preserve"> 00001013 </t>
  </si>
  <si>
    <t>CABO DE COBRE, FLEXIVEL, CLASSE 4 OU 5, ISOLACAO EM PVC/A, ANTICHAMA BWF-B, 1 CONDUTOR, 450/750 V, SECAO NOMINAL 1,5 MM2</t>
  </si>
  <si>
    <t xml:space="preserve"> 00004083 </t>
  </si>
  <si>
    <t>ENCARREGADO GERAL DE OBRAS (HORISTA)</t>
  </si>
  <si>
    <t xml:space="preserve"> 00000392 </t>
  </si>
  <si>
    <t>ABRACADEIRA EM ACO PARA AMARRACAO DE ELETRODUTOS, TIPO D, COM 1/2" E PARAFUSO DE FIXACAO</t>
  </si>
  <si>
    <t xml:space="preserve"> 00038101 </t>
  </si>
  <si>
    <t>TOMADA 2P+T 10A, 250V  (APENAS MODULO)</t>
  </si>
  <si>
    <t>0,6048000</t>
  </si>
  <si>
    <t xml:space="preserve"> 00038191 </t>
  </si>
  <si>
    <t>LAMPADA FLUORESCENTE COMPACTA 2U BRANCA 15 W, BASE E27 (127/220 V)</t>
  </si>
  <si>
    <t xml:space="preserve"> 00040568 </t>
  </si>
  <si>
    <t>PREGO DE ACO POLIDO COM CABECA 22 X 48 (4 1/4 X 5)</t>
  </si>
  <si>
    <t>0,2591280</t>
  </si>
  <si>
    <t xml:space="preserve"> 00004233 </t>
  </si>
  <si>
    <t>OPERADOR DE USINA DE ASFALTO, DE SOLOS OU DE CONCRETO</t>
  </si>
  <si>
    <t xml:space="preserve"> 00004253 </t>
  </si>
  <si>
    <t>OPERADOR DE GUINCHO OU GUINCHEIRO</t>
  </si>
  <si>
    <t xml:space="preserve"> 00001871 </t>
  </si>
  <si>
    <t>CAIXA OCTOGONAL DE FUNDO MOVEL, EM PVC, DE 3" X 3", PARA ELETRODUTO FLEXIVEL CORRUGADO</t>
  </si>
  <si>
    <t>0,7554000</t>
  </si>
  <si>
    <t xml:space="preserve"> 00012010 </t>
  </si>
  <si>
    <t>CONDULETE EM PVC, TIPO "B", SEM TAMPA, DE 1/2" OU 3/4"</t>
  </si>
  <si>
    <t>12,21</t>
  </si>
  <si>
    <t xml:space="preserve"> 00001607 </t>
  </si>
  <si>
    <t>CONJUNTO ARRUELAS DE VEDACAO 5/16" PARA TELHA FIBROCIMENTO (UMA ARRUELA METALICA E UMA ARRUELA PVC - CONICAS)</t>
  </si>
  <si>
    <t>CJ</t>
  </si>
  <si>
    <t xml:space="preserve"> 00043458 </t>
  </si>
  <si>
    <t>FERRAMENTAS - FAMILIA ALMOXARIFE - HORISTA (ENCARGOS COMPLEMENTARES - COLETADO CAIXA)</t>
  </si>
  <si>
    <t>100,10%</t>
  </si>
  <si>
    <t xml:space="preserve"> 00013896 </t>
  </si>
  <si>
    <t>VIBRADOR DE IMERSAO, DIAMETRO DA PONTEIRA DE *45* MM, COM MOTOR ELETRICO TRIFASICO DE 2 HP (2 CV)</t>
  </si>
  <si>
    <t>0,0005739</t>
  </si>
  <si>
    <t>0,1800000</t>
  </si>
  <si>
    <t xml:space="preserve"> 00012016 </t>
  </si>
  <si>
    <t>CONDULETE EM PVC, TIPO "LB", SEM TAMPA, DE 1/2" OU 3/4"</t>
  </si>
  <si>
    <t xml:space="preserve"> 00036501 </t>
  </si>
  <si>
    <t>GRUPO GERADOR ESTACIONARIO, POTENCIA 150 KVA, MOTOR DIESEL</t>
  </si>
  <si>
    <t>0,0000107</t>
  </si>
  <si>
    <t>0,2179400</t>
  </si>
  <si>
    <t xml:space="preserve"> 00038094 </t>
  </si>
  <si>
    <t>ESPELHO / PLACA DE 3 POSTOS 4" X 2", PARA INSTALACAO DE TOMADAS E INTERRUPTORES</t>
  </si>
  <si>
    <t>0,4536000</t>
  </si>
  <si>
    <t xml:space="preserve"> 00001870 </t>
  </si>
  <si>
    <t>CURVA 90 GRAUS, LONGA, DE PVC RIGIDO ROSCAVEL, DE 1/2", PARA ELETRODUTO</t>
  </si>
  <si>
    <t>0,4530000</t>
  </si>
  <si>
    <t xml:space="preserve"> 00007568 </t>
  </si>
  <si>
    <t>BUCHA DE NYLON SEM ABA S10, COM PARAFUSO DE 6,10 X 65 MM EM ACO ZINCADO COM ROSCA SOBERBA, CABECA CHATA E FENDA PHILLIPS</t>
  </si>
  <si>
    <t>1,8322346</t>
  </si>
  <si>
    <t xml:space="preserve"> 00038112 </t>
  </si>
  <si>
    <t>INTERRUPTOR SIMPLES 10A, 250V (APENAS MODULO)</t>
  </si>
  <si>
    <t xml:space="preserve"> 00000246 </t>
  </si>
  <si>
    <t>AUXILIAR DE ENCANADOR OU BOMBEIRO HIDRAULICO</t>
  </si>
  <si>
    <t xml:space="preserve"> 00038099 </t>
  </si>
  <si>
    <t>SUPORTE DE FIXACAO PARA ESPELHO / PLACA 4" X 2", PARA 3 MODULOS, PARA INSTALACAO DE TOMADAS E INTERRUPTORES (SOMENTE SUPORTE)</t>
  </si>
  <si>
    <t xml:space="preserve"> 00012295 </t>
  </si>
  <si>
    <t>SOQUETE DE BAQUELITE BASE E27, PARA LAMPADAS</t>
  </si>
  <si>
    <t xml:space="preserve"> 00021127 </t>
  </si>
  <si>
    <t>FITA ISOLANTE ADESIVA ANTICHAMA, USO ATE 750 V, EM ROLO DE 19 MM X 5 M</t>
  </si>
  <si>
    <t xml:space="preserve"> 00001574 </t>
  </si>
  <si>
    <t>TERMINAL A COMPRESSAO EM COBRE ESTANHADO PARA CABO 10 MM2, 1 FURO E 1 COMPRESSAO, PARA PARAFUSO DE FIXACAO M6</t>
  </si>
  <si>
    <t>2,14</t>
  </si>
  <si>
    <t>0,65</t>
  </si>
  <si>
    <t xml:space="preserve"> 00014618 </t>
  </si>
  <si>
    <t>SERRA CIRCULAR DE BANCADA COM MOTOR ELETRICO, POTENCIA DE *1600* W, PARA DISCO DE DIAMETRO DE 10" (250 MM)</t>
  </si>
  <si>
    <t>0,0002179</t>
  </si>
  <si>
    <t xml:space="preserve"> 00043485 </t>
  </si>
  <si>
    <t>EPI - FAMILIA ENCANADOR - HORISTA (ENCARGOS COMPLEMENTARES - COLETADO CAIXA)</t>
  </si>
  <si>
    <t xml:space="preserve"> 00001442 </t>
  </si>
  <si>
    <t>COMPACTADOR DE SOLO TIPO PLACA VIBRATORIA REVERSIVEL, A GASOLINA, 4 TEMPOS, PESO DE 125 A 150 KG, FORCA CENTRIFUGA DE 2500 A 2800 KGF, LARG. TRABALHO DE 400 A 450 MM, FREQ VIBRACAO DE 4300 A 4500 RPM, VELOC. TRABALHO DE 15 A 20 M/MIN, POT. DE 5,5 A 6,0 HP</t>
  </si>
  <si>
    <t>0,0000250</t>
  </si>
  <si>
    <t>0,31</t>
  </si>
  <si>
    <t xml:space="preserve"> 00043487 </t>
  </si>
  <si>
    <t>EPI - FAMILIA ENCARREGADO GERAL - HORISTA (ENCARGOS COMPLEMENTARES - COLETADO CAIXA)</t>
  </si>
  <si>
    <t>0,1668600</t>
  </si>
  <si>
    <t>0,23</t>
  </si>
  <si>
    <t xml:space="preserve"> 00011950 </t>
  </si>
  <si>
    <t>BUCHA DE NYLON SEM ABA S6, COM PARAFUSO DE 4,20 X 40 MM EM ACO ZINCADO COM ROSCA SOBERBA, CABECA CHATA E FENDA PHILLIPS</t>
  </si>
  <si>
    <t xml:space="preserve"> 00036487 </t>
  </si>
  <si>
    <t>GUINCHO ELETRICO DE COLUNA, CAPACIDADE 400 KG, COM MOTO FREIO, MOTOR TRIFASICO DE 1,25 CV</t>
  </si>
  <si>
    <t>0,0000195</t>
  </si>
  <si>
    <t xml:space="preserve"> 00043461 </t>
  </si>
  <si>
    <t>FERRAMENTAS - FAMILIA ENCANADOR - HORISTA (ENCARGOS COMPLEMENTARES - COLETADO CAIXA)</t>
  </si>
  <si>
    <t>0,41</t>
  </si>
  <si>
    <t>0,12</t>
  </si>
  <si>
    <t xml:space="preserve"> 00043463 </t>
  </si>
  <si>
    <t>FERRAMENTAS - FAMILIA ENCARREGADO GERAL - HORISTA (ENCARGOS COMPLEMENTARES - COLETADO CAIXA)</t>
  </si>
  <si>
    <t>0,02</t>
  </si>
  <si>
    <t>Totais por Tipo</t>
  </si>
  <si>
    <t>Equipamento para Aquisição Permanente</t>
  </si>
  <si>
    <t>R$  0,00</t>
  </si>
  <si>
    <t>Administração</t>
  </si>
  <si>
    <t>Aluguel</t>
  </si>
  <si>
    <t>Verba</t>
  </si>
  <si>
    <t>BANCOS DE PREÇOS</t>
  </si>
  <si>
    <r>
      <rPr>
        <b/>
        <sz val="12"/>
        <rFont val="Arial Narrow"/>
        <family val="2"/>
      </rPr>
      <t xml:space="preserve">Arquivo: </t>
    </r>
    <r>
      <rPr>
        <sz val="12"/>
        <rFont val="Arial Narrow"/>
        <family val="2"/>
      </rPr>
      <t>172 - O - 2386- 20 - 001_1</t>
    </r>
  </si>
  <si>
    <r>
      <rPr>
        <b/>
        <sz val="12"/>
        <rFont val="Arial Narrow"/>
        <family val="2"/>
      </rPr>
      <t>Data Base:</t>
    </r>
    <r>
      <rPr>
        <sz val="12"/>
        <rFont val="Arial Narrow"/>
        <family val="2"/>
      </rPr>
      <t xml:space="preserve"> Junho de 2023</t>
    </r>
  </si>
  <si>
    <t>CPOS/CDHU</t>
  </si>
  <si>
    <t>100,00%
5.451,12</t>
  </si>
  <si>
    <t>100,00%
103.823,03</t>
  </si>
  <si>
    <t>65,00%
67.484,97</t>
  </si>
  <si>
    <t>8,00%
8.305,84</t>
  </si>
  <si>
    <t>3,00%
3.114,69</t>
  </si>
  <si>
    <t>100,00%
243.022,11</t>
  </si>
  <si>
    <t>85,00%
206.568,79</t>
  </si>
  <si>
    <t>5,00%
12.151,11</t>
  </si>
  <si>
    <t>10,00%
24.302,21</t>
  </si>
  <si>
    <t>100,00%
166.441,31</t>
  </si>
  <si>
    <t>5,00%
8.322,07</t>
  </si>
  <si>
    <t>15,00%
24.966,20</t>
  </si>
  <si>
    <t>45,00%
74.898,59</t>
  </si>
  <si>
    <t>25,00%
41.610,33</t>
  </si>
  <si>
    <t>10,00%
16.644,13</t>
  </si>
  <si>
    <t>100,00%
157.861,96</t>
  </si>
  <si>
    <t>15,00%
23.679,29</t>
  </si>
  <si>
    <t>85,00%
134.182,67</t>
  </si>
  <si>
    <t>100,00%
40.101,21</t>
  </si>
  <si>
    <t>100,00%
13.937,92</t>
  </si>
  <si>
    <t>11,12%</t>
  </si>
  <si>
    <t>32,83%</t>
  </si>
  <si>
    <t>13,05%</t>
  </si>
  <si>
    <t>10,07%</t>
  </si>
  <si>
    <t>27,27%</t>
  </si>
  <si>
    <t>5,66%</t>
  </si>
  <si>
    <t>81.258,16</t>
  </si>
  <si>
    <t>239.840,83</t>
  </si>
  <si>
    <t>95.355,54</t>
  </si>
  <si>
    <t>73.595,46</t>
  </si>
  <si>
    <t>199.233,85</t>
  </si>
  <si>
    <t>41.354,82</t>
  </si>
  <si>
    <t>43,95%</t>
  </si>
  <si>
    <t>57,0%</t>
  </si>
  <si>
    <t>67,07%</t>
  </si>
  <si>
    <t>94,34%</t>
  </si>
  <si>
    <t>81.258,15</t>
  </si>
  <si>
    <t>321.098,98</t>
  </si>
  <si>
    <t>416.454,52</t>
  </si>
  <si>
    <t>490.049,98</t>
  </si>
  <si>
    <t>689.283,83</t>
  </si>
  <si>
    <t>730.638,66</t>
  </si>
  <si>
    <t>47,03</t>
  </si>
  <si>
    <t>160.833,78</t>
  </si>
  <si>
    <t>22,01%</t>
  </si>
  <si>
    <t>36,82%</t>
  </si>
  <si>
    <t>591,88</t>
  </si>
  <si>
    <t>48.085,89</t>
  </si>
  <si>
    <t>6,58%</t>
  </si>
  <si>
    <t>43,40%</t>
  </si>
  <si>
    <t>7,23</t>
  </si>
  <si>
    <t>44.800,76</t>
  </si>
  <si>
    <t>6,13%</t>
  </si>
  <si>
    <t>49,53%</t>
  </si>
  <si>
    <t>675,02</t>
  </si>
  <si>
    <t>41.130,31</t>
  </si>
  <si>
    <t>5,63%</t>
  </si>
  <si>
    <t>55,16%</t>
  </si>
  <si>
    <t>56,71</t>
  </si>
  <si>
    <t>36.124,27</t>
  </si>
  <si>
    <t>4,94%</t>
  </si>
  <si>
    <t>60,10%</t>
  </si>
  <si>
    <t>1.045.045,16</t>
  </si>
  <si>
    <t>21.582,69</t>
  </si>
  <si>
    <t>2,95%</t>
  </si>
  <si>
    <t>63,06%</t>
  </si>
  <si>
    <t>635,98</t>
  </si>
  <si>
    <t>19.442,16</t>
  </si>
  <si>
    <t>2,66%</t>
  </si>
  <si>
    <t>65,72%</t>
  </si>
  <si>
    <t>0,76</t>
  </si>
  <si>
    <t>18.376,84</t>
  </si>
  <si>
    <t>2,52%</t>
  </si>
  <si>
    <t>68,23%</t>
  </si>
  <si>
    <t>835,5316360</t>
  </si>
  <si>
    <t>20,38</t>
  </si>
  <si>
    <t>17.028,13</t>
  </si>
  <si>
    <t>2,33%</t>
  </si>
  <si>
    <t>70,56%</t>
  </si>
  <si>
    <t>545,9561689</t>
  </si>
  <si>
    <t>24,81</t>
  </si>
  <si>
    <t>13.545,17</t>
  </si>
  <si>
    <t>1,85%</t>
  </si>
  <si>
    <t>72,42%</t>
  </si>
  <si>
    <t>11,05</t>
  </si>
  <si>
    <t>13.177,13</t>
  </si>
  <si>
    <t>1,80%</t>
  </si>
  <si>
    <t>74,22%</t>
  </si>
  <si>
    <t>666,27</t>
  </si>
  <si>
    <t>12.242,84</t>
  </si>
  <si>
    <t>1,68%</t>
  </si>
  <si>
    <t>75,90%</t>
  </si>
  <si>
    <t>2.382,1639292</t>
  </si>
  <si>
    <t>4,93</t>
  </si>
  <si>
    <t>11.744,07</t>
  </si>
  <si>
    <t>1,61%</t>
  </si>
  <si>
    <t>77,50%</t>
  </si>
  <si>
    <t>21,73</t>
  </si>
  <si>
    <t>9.787,78</t>
  </si>
  <si>
    <t>78,84%</t>
  </si>
  <si>
    <t>15,74</t>
  </si>
  <si>
    <t>7.908,44</t>
  </si>
  <si>
    <t>1,08%</t>
  </si>
  <si>
    <t>79,93%</t>
  </si>
  <si>
    <t>228,6433512</t>
  </si>
  <si>
    <t>31,28</t>
  </si>
  <si>
    <t>7.151,96</t>
  </si>
  <si>
    <t>0,98%</t>
  </si>
  <si>
    <t>80,90%</t>
  </si>
  <si>
    <t>81,73%</t>
  </si>
  <si>
    <t>728.209,64</t>
  </si>
  <si>
    <t>5.923,55</t>
  </si>
  <si>
    <t>0,81%</t>
  </si>
  <si>
    <t>82,54%</t>
  </si>
  <si>
    <t>955.699,90</t>
  </si>
  <si>
    <t>5.798,42</t>
  </si>
  <si>
    <t>0,79%</t>
  </si>
  <si>
    <t>83,34%</t>
  </si>
  <si>
    <t>400,19</t>
  </si>
  <si>
    <t>4.485,01</t>
  </si>
  <si>
    <t>0,61%</t>
  </si>
  <si>
    <t>83,95%</t>
  </si>
  <si>
    <t>921,58</t>
  </si>
  <si>
    <t>4.423,58</t>
  </si>
  <si>
    <t>84,56%</t>
  </si>
  <si>
    <t>22,17</t>
  </si>
  <si>
    <t>4.292,04</t>
  </si>
  <si>
    <t>85,14%</t>
  </si>
  <si>
    <t>25,02</t>
  </si>
  <si>
    <t>4.123,30</t>
  </si>
  <si>
    <t>0,56%</t>
  </si>
  <si>
    <t>85,71%</t>
  </si>
  <si>
    <t>151,7134514</t>
  </si>
  <si>
    <t>26,07</t>
  </si>
  <si>
    <t>3.955,17</t>
  </si>
  <si>
    <t>86,25%</t>
  </si>
  <si>
    <t>2.437,5253097</t>
  </si>
  <si>
    <t>1,47</t>
  </si>
  <si>
    <t>3.583,16</t>
  </si>
  <si>
    <t>0,49%</t>
  </si>
  <si>
    <t>86,74%</t>
  </si>
  <si>
    <t>38,29</t>
  </si>
  <si>
    <t>3.309,40</t>
  </si>
  <si>
    <t>0,45%</t>
  </si>
  <si>
    <t>87,19%</t>
  </si>
  <si>
    <t>7,68</t>
  </si>
  <si>
    <t>3.165,68</t>
  </si>
  <si>
    <t>0,43%</t>
  </si>
  <si>
    <t>87,63%</t>
  </si>
  <si>
    <t>758.300,91</t>
  </si>
  <si>
    <t>3.028,43</t>
  </si>
  <si>
    <t>0,41%</t>
  </si>
  <si>
    <t>88,04%</t>
  </si>
  <si>
    <t>11,45</t>
  </si>
  <si>
    <t>3.001,86</t>
  </si>
  <si>
    <t>88,45%</t>
  </si>
  <si>
    <t>120,0031822</t>
  </si>
  <si>
    <t>24,26</t>
  </si>
  <si>
    <t>2.911,28</t>
  </si>
  <si>
    <t>88,85%</t>
  </si>
  <si>
    <t>10,23</t>
  </si>
  <si>
    <t>2.328,57</t>
  </si>
  <si>
    <t>1.610.250,00</t>
  </si>
  <si>
    <t>2.245,49</t>
  </si>
  <si>
    <t>89,48%</t>
  </si>
  <si>
    <t>44,26</t>
  </si>
  <si>
    <t>2.122,13</t>
  </si>
  <si>
    <t>0,29%</t>
  </si>
  <si>
    <t>89,77%</t>
  </si>
  <si>
    <t>2.024,84</t>
  </si>
  <si>
    <t>90,04%</t>
  </si>
  <si>
    <t>5,60</t>
  </si>
  <si>
    <t>2.003,40</t>
  </si>
  <si>
    <t>90,32%</t>
  </si>
  <si>
    <t>74,2461131</t>
  </si>
  <si>
    <t>1.842,05</t>
  </si>
  <si>
    <t>90,57%</t>
  </si>
  <si>
    <t>69,0268047</t>
  </si>
  <si>
    <t>1.774,68</t>
  </si>
  <si>
    <t>90,81%</t>
  </si>
  <si>
    <t>59,6809068</t>
  </si>
  <si>
    <t>27,98</t>
  </si>
  <si>
    <t>1.669,87</t>
  </si>
  <si>
    <t>91,04%</t>
  </si>
  <si>
    <t>822.202,99</t>
  </si>
  <si>
    <t>1.657,56</t>
  </si>
  <si>
    <t>91,27%</t>
  </si>
  <si>
    <t>1.487.871,00</t>
  </si>
  <si>
    <t>1.641,42</t>
  </si>
  <si>
    <t>91,49%</t>
  </si>
  <si>
    <t>265,46</t>
  </si>
  <si>
    <t>1.610,30</t>
  </si>
  <si>
    <t>91,71%</t>
  </si>
  <si>
    <t>27,37</t>
  </si>
  <si>
    <t>1.609,36</t>
  </si>
  <si>
    <t>31,14</t>
  </si>
  <si>
    <t>1.479,77</t>
  </si>
  <si>
    <t>302,95</t>
  </si>
  <si>
    <t>1.445,07</t>
  </si>
  <si>
    <t>92,33%</t>
  </si>
  <si>
    <t>25,17</t>
  </si>
  <si>
    <t>1.440,73</t>
  </si>
  <si>
    <t>92,53%</t>
  </si>
  <si>
    <t>102,05</t>
  </si>
  <si>
    <t>1.428,70</t>
  </si>
  <si>
    <t>92,73%</t>
  </si>
  <si>
    <t>3.132.339,46</t>
  </si>
  <si>
    <t>1.407,67</t>
  </si>
  <si>
    <t>92,92%</t>
  </si>
  <si>
    <t>837.330,00</t>
  </si>
  <si>
    <t>1.368,20</t>
  </si>
  <si>
    <t>93,11%</t>
  </si>
  <si>
    <t>820,6776943</t>
  </si>
  <si>
    <t>1,61</t>
  </si>
  <si>
    <t>1.321,29</t>
  </si>
  <si>
    <t>93,29%</t>
  </si>
  <si>
    <t>93,47%</t>
  </si>
  <si>
    <t>140.159,50</t>
  </si>
  <si>
    <t>1.301,35</t>
  </si>
  <si>
    <t>93,64%</t>
  </si>
  <si>
    <t>997.102,35</t>
  </si>
  <si>
    <t>1.290,45</t>
  </si>
  <si>
    <t>93,82%</t>
  </si>
  <si>
    <t>37,1172112</t>
  </si>
  <si>
    <t>34,63</t>
  </si>
  <si>
    <t>1.285,37</t>
  </si>
  <si>
    <t>94,00%</t>
  </si>
  <si>
    <t>72.869,78</t>
  </si>
  <si>
    <t>1.264,69</t>
  </si>
  <si>
    <t>94,17%</t>
  </si>
  <si>
    <t>33,44</t>
  </si>
  <si>
    <t>1.254,00</t>
  </si>
  <si>
    <t>1.364.026,80</t>
  </si>
  <si>
    <t>1.120,41</t>
  </si>
  <si>
    <t>94,49%</t>
  </si>
  <si>
    <t>52,9028456</t>
  </si>
  <si>
    <t>20,26</t>
  </si>
  <si>
    <t>1.071,81</t>
  </si>
  <si>
    <t>94,64%</t>
  </si>
  <si>
    <t>28,1681547</t>
  </si>
  <si>
    <t>37,91</t>
  </si>
  <si>
    <t>1.067,85</t>
  </si>
  <si>
    <t>94,79%</t>
  </si>
  <si>
    <t>6,76</t>
  </si>
  <si>
    <t>1.054,56</t>
  </si>
  <si>
    <t>94,93%</t>
  </si>
  <si>
    <t>9,67</t>
  </si>
  <si>
    <t>1.043,92</t>
  </si>
  <si>
    <t>95,07%</t>
  </si>
  <si>
    <t>49,79</t>
  </si>
  <si>
    <t>1.003,59</t>
  </si>
  <si>
    <t>95,21%</t>
  </si>
  <si>
    <t>40,2598345</t>
  </si>
  <si>
    <t>23,81</t>
  </si>
  <si>
    <t>958,59</t>
  </si>
  <si>
    <t>95,34%</t>
  </si>
  <si>
    <t>1,73</t>
  </si>
  <si>
    <t>955,58</t>
  </si>
  <si>
    <t>95,47%</t>
  </si>
  <si>
    <t>18,5586055</t>
  </si>
  <si>
    <t>50,82</t>
  </si>
  <si>
    <t>943,15</t>
  </si>
  <si>
    <t>95,60%</t>
  </si>
  <si>
    <t>95,73%</t>
  </si>
  <si>
    <t>36,1149906</t>
  </si>
  <si>
    <t>896,01</t>
  </si>
  <si>
    <t>95,85%</t>
  </si>
  <si>
    <t>140,90</t>
  </si>
  <si>
    <t>887,67</t>
  </si>
  <si>
    <t>95,97%</t>
  </si>
  <si>
    <t>15,28</t>
  </si>
  <si>
    <t>887,46</t>
  </si>
  <si>
    <t>96,10%</t>
  </si>
  <si>
    <t>26,45</t>
  </si>
  <si>
    <t>885,23</t>
  </si>
  <si>
    <t>96,22%</t>
  </si>
  <si>
    <t>119.094,09</t>
  </si>
  <si>
    <t>878,50</t>
  </si>
  <si>
    <t>96,34%</t>
  </si>
  <si>
    <t>110,08</t>
  </si>
  <si>
    <t>852,02</t>
  </si>
  <si>
    <t>96,45%</t>
  </si>
  <si>
    <t>33,4603566</t>
  </si>
  <si>
    <t>25,45</t>
  </si>
  <si>
    <t>851,57</t>
  </si>
  <si>
    <t>96,57%</t>
  </si>
  <si>
    <t>30,04</t>
  </si>
  <si>
    <t>841,12</t>
  </si>
  <si>
    <t>96,68%</t>
  </si>
  <si>
    <t>823,83</t>
  </si>
  <si>
    <t>96,80%</t>
  </si>
  <si>
    <t>41,97</t>
  </si>
  <si>
    <t>815,69</t>
  </si>
  <si>
    <t>96,91%</t>
  </si>
  <si>
    <t>1.229.909,00</t>
  </si>
  <si>
    <t>798,58</t>
  </si>
  <si>
    <t>97,02%</t>
  </si>
  <si>
    <t>764,81</t>
  </si>
  <si>
    <t>97,12%</t>
  </si>
  <si>
    <t>120,42</t>
  </si>
  <si>
    <t>722,52</t>
  </si>
  <si>
    <t>97,22%</t>
  </si>
  <si>
    <t>30,32</t>
  </si>
  <si>
    <t>712,65</t>
  </si>
  <si>
    <t>97,32%</t>
  </si>
  <si>
    <t>97,42%</t>
  </si>
  <si>
    <t>21,37</t>
  </si>
  <si>
    <t>641,10</t>
  </si>
  <si>
    <t>97,50%</t>
  </si>
  <si>
    <t>623,72</t>
  </si>
  <si>
    <t>97,59%</t>
  </si>
  <si>
    <t>97,67%</t>
  </si>
  <si>
    <t>20,4174642</t>
  </si>
  <si>
    <t>29,35</t>
  </si>
  <si>
    <t>599,25</t>
  </si>
  <si>
    <t>97,76%</t>
  </si>
  <si>
    <t>16,1423884</t>
  </si>
  <si>
    <t>35,61</t>
  </si>
  <si>
    <t>574,83</t>
  </si>
  <si>
    <t>97,83%</t>
  </si>
  <si>
    <t>27,4848592</t>
  </si>
  <si>
    <t>560,14</t>
  </si>
  <si>
    <t>97,91%</t>
  </si>
  <si>
    <t>44,91</t>
  </si>
  <si>
    <t>545,12</t>
  </si>
  <si>
    <t>97,99%</t>
  </si>
  <si>
    <t>6,88</t>
  </si>
  <si>
    <t>544,19</t>
  </si>
  <si>
    <t>98,06%</t>
  </si>
  <si>
    <t>483.375,95</t>
  </si>
  <si>
    <t>516,58</t>
  </si>
  <si>
    <t>98,13%</t>
  </si>
  <si>
    <t>1.242.098,54</t>
  </si>
  <si>
    <t>513,48</t>
  </si>
  <si>
    <t>98,20%</t>
  </si>
  <si>
    <t>22,7384007</t>
  </si>
  <si>
    <t>22,36</t>
  </si>
  <si>
    <t>508,43</t>
  </si>
  <si>
    <t>98,27%</t>
  </si>
  <si>
    <t>3,99</t>
  </si>
  <si>
    <t>474,01</t>
  </si>
  <si>
    <t>98,40%</t>
  </si>
  <si>
    <t>72,32</t>
  </si>
  <si>
    <t>446,50</t>
  </si>
  <si>
    <t>98,46%</t>
  </si>
  <si>
    <t>36,46</t>
  </si>
  <si>
    <t>430,22</t>
  </si>
  <si>
    <t>98,52%</t>
  </si>
  <si>
    <t>16,9104684</t>
  </si>
  <si>
    <t>419,55</t>
  </si>
  <si>
    <t>98,58%</t>
  </si>
  <si>
    <t>77,29</t>
  </si>
  <si>
    <t>403,12</t>
  </si>
  <si>
    <t>98,63%</t>
  </si>
  <si>
    <t>10,67</t>
  </si>
  <si>
    <t>386,58</t>
  </si>
  <si>
    <t>98,69%</t>
  </si>
  <si>
    <t>354.255,00</t>
  </si>
  <si>
    <t>383,87</t>
  </si>
  <si>
    <t>98,74%</t>
  </si>
  <si>
    <t>32,21</t>
  </si>
  <si>
    <t>377,54</t>
  </si>
  <si>
    <t>98,79%</t>
  </si>
  <si>
    <t>1,11</t>
  </si>
  <si>
    <t>370,14</t>
  </si>
  <si>
    <t>98,84%</t>
  </si>
  <si>
    <t>65,45</t>
  </si>
  <si>
    <t>363,64</t>
  </si>
  <si>
    <t>98,89%</t>
  </si>
  <si>
    <t>202,43</t>
  </si>
  <si>
    <t>354,25</t>
  </si>
  <si>
    <t>98,94%</t>
  </si>
  <si>
    <t>0,63</t>
  </si>
  <si>
    <t>347,98</t>
  </si>
  <si>
    <t>1,51</t>
  </si>
  <si>
    <t>308,12</t>
  </si>
  <si>
    <t>11,7572975</t>
  </si>
  <si>
    <t>25,76</t>
  </si>
  <si>
    <t>302,87</t>
  </si>
  <si>
    <t>99,07%</t>
  </si>
  <si>
    <t>226,25</t>
  </si>
  <si>
    <t>284,72</t>
  </si>
  <si>
    <t>99,11%</t>
  </si>
  <si>
    <t>9,57</t>
  </si>
  <si>
    <t>275,31</t>
  </si>
  <si>
    <t>269,79</t>
  </si>
  <si>
    <t>99,18%</t>
  </si>
  <si>
    <t>5,69</t>
  </si>
  <si>
    <t>261,17</t>
  </si>
  <si>
    <t>99,22%</t>
  </si>
  <si>
    <t>18.133,21</t>
  </si>
  <si>
    <t>255,26</t>
  </si>
  <si>
    <t>99,25%</t>
  </si>
  <si>
    <t>45,40</t>
  </si>
  <si>
    <t>248,62</t>
  </si>
  <si>
    <t>99,29%</t>
  </si>
  <si>
    <t>99,32%</t>
  </si>
  <si>
    <t>12,0105592</t>
  </si>
  <si>
    <t>244,78</t>
  </si>
  <si>
    <t>1,08</t>
  </si>
  <si>
    <t>220,38</t>
  </si>
  <si>
    <t>0,09</t>
  </si>
  <si>
    <t>219,38</t>
  </si>
  <si>
    <t>10,7106075</t>
  </si>
  <si>
    <t>218,28</t>
  </si>
  <si>
    <t>216,50</t>
  </si>
  <si>
    <t>1.004,76</t>
  </si>
  <si>
    <t>209,18</t>
  </si>
  <si>
    <t>0,99</t>
  </si>
  <si>
    <t>208,45</t>
  </si>
  <si>
    <t>78,30</t>
  </si>
  <si>
    <t>204,58</t>
  </si>
  <si>
    <t>6,3894336</t>
  </si>
  <si>
    <t>31,81</t>
  </si>
  <si>
    <t>203,25</t>
  </si>
  <si>
    <t>99,59%</t>
  </si>
  <si>
    <t>6,6359906</t>
  </si>
  <si>
    <t>29,96</t>
  </si>
  <si>
    <t>198,81</t>
  </si>
  <si>
    <t>99,62%</t>
  </si>
  <si>
    <t>29,31</t>
  </si>
  <si>
    <t>196,59</t>
  </si>
  <si>
    <t>99,64%</t>
  </si>
  <si>
    <t>854.841,73</t>
  </si>
  <si>
    <t>187,47</t>
  </si>
  <si>
    <t>99,67%</t>
  </si>
  <si>
    <t>8,4448560</t>
  </si>
  <si>
    <t>172,11</t>
  </si>
  <si>
    <t>99,69%</t>
  </si>
  <si>
    <t>690.655,70</t>
  </si>
  <si>
    <t>156,36</t>
  </si>
  <si>
    <t>99,71%</t>
  </si>
  <si>
    <t>6,74</t>
  </si>
  <si>
    <t>140,91</t>
  </si>
  <si>
    <t>99,73%</t>
  </si>
  <si>
    <t>7,55</t>
  </si>
  <si>
    <t>132,13</t>
  </si>
  <si>
    <t>99,75%</t>
  </si>
  <si>
    <t>131,76</t>
  </si>
  <si>
    <t>19,07</t>
  </si>
  <si>
    <t>121,29</t>
  </si>
  <si>
    <t>4,7910818</t>
  </si>
  <si>
    <t>22,89</t>
  </si>
  <si>
    <t>109,67</t>
  </si>
  <si>
    <t>99,80%</t>
  </si>
  <si>
    <t>176,59</t>
  </si>
  <si>
    <t>106,70</t>
  </si>
  <si>
    <t>0,82</t>
  </si>
  <si>
    <t>99,83%</t>
  </si>
  <si>
    <t>93.657,40</t>
  </si>
  <si>
    <t>100,09</t>
  </si>
  <si>
    <t>37,54</t>
  </si>
  <si>
    <t>97,83</t>
  </si>
  <si>
    <t>99,87%</t>
  </si>
  <si>
    <t>6.137,65</t>
  </si>
  <si>
    <t>97,34</t>
  </si>
  <si>
    <t>4,80</t>
  </si>
  <si>
    <t>94,73</t>
  </si>
  <si>
    <t>99.276,83</t>
  </si>
  <si>
    <t>91,76</t>
  </si>
  <si>
    <t>3,35</t>
  </si>
  <si>
    <t>90,36</t>
  </si>
  <si>
    <t>99,92%</t>
  </si>
  <si>
    <t>3,3723505</t>
  </si>
  <si>
    <t>22,58</t>
  </si>
  <si>
    <t>76,15</t>
  </si>
  <si>
    <t>22,07</t>
  </si>
  <si>
    <t>72,55</t>
  </si>
  <si>
    <t>2,55</t>
  </si>
  <si>
    <t>68,85</t>
  </si>
  <si>
    <t>6,07</t>
  </si>
  <si>
    <t>66,06</t>
  </si>
  <si>
    <t>3,28</t>
  </si>
  <si>
    <t>65,59</t>
  </si>
  <si>
    <t>9,71</t>
  </si>
  <si>
    <t>62,92</t>
  </si>
  <si>
    <t>11,66</t>
  </si>
  <si>
    <t>62,68</t>
  </si>
  <si>
    <t>290.279,28</t>
  </si>
  <si>
    <t>57,10</t>
  </si>
  <si>
    <t>185,28</t>
  </si>
  <si>
    <t>56,38</t>
  </si>
  <si>
    <t>53,54</t>
  </si>
  <si>
    <t>20,1060220</t>
  </si>
  <si>
    <t>2,16</t>
  </si>
  <si>
    <t>43,43</t>
  </si>
  <si>
    <t>43,17</t>
  </si>
  <si>
    <t>1,5041105</t>
  </si>
  <si>
    <t>26,15</t>
  </si>
  <si>
    <t>39,33</t>
  </si>
  <si>
    <t>253,16</t>
  </si>
  <si>
    <t>38,28</t>
  </si>
  <si>
    <t>244,81</t>
  </si>
  <si>
    <t>37,02</t>
  </si>
  <si>
    <t>97.186,10</t>
  </si>
  <si>
    <t>33,27</t>
  </si>
  <si>
    <t>1.840.705,14</t>
  </si>
  <si>
    <t>28,16</t>
  </si>
  <si>
    <t>1,1190018</t>
  </si>
  <si>
    <t>27,76</t>
  </si>
  <si>
    <t>26,03</t>
  </si>
  <si>
    <t>138,84</t>
  </si>
  <si>
    <t>20,99</t>
  </si>
  <si>
    <t>18,73</t>
  </si>
  <si>
    <t>20,23</t>
  </si>
  <si>
    <t>46,07</t>
  </si>
  <si>
    <t>17,97</t>
  </si>
  <si>
    <t>46,89</t>
  </si>
  <si>
    <t>15,75</t>
  </si>
  <si>
    <t>73.427,40</t>
  </si>
  <si>
    <t>15,22</t>
  </si>
  <si>
    <t>20,61</t>
  </si>
  <si>
    <t>14,32</t>
  </si>
  <si>
    <t>7.471,56</t>
  </si>
  <si>
    <t>13,81</t>
  </si>
  <si>
    <t>4,57</t>
  </si>
  <si>
    <t>13,34</t>
  </si>
  <si>
    <t>1,17</t>
  </si>
  <si>
    <t>5,0715799</t>
  </si>
  <si>
    <t>2,29</t>
  </si>
  <si>
    <t>11,61</t>
  </si>
  <si>
    <t>25,88</t>
  </si>
  <si>
    <t>11,28</t>
  </si>
  <si>
    <t>7,5960816</t>
  </si>
  <si>
    <t>11,17</t>
  </si>
  <si>
    <t>13,59</t>
  </si>
  <si>
    <t>11,01</t>
  </si>
  <si>
    <t>30.392,79</t>
  </si>
  <si>
    <t>10,63</t>
  </si>
  <si>
    <t>69,96</t>
  </si>
  <si>
    <t>10,58</t>
  </si>
  <si>
    <t>12,62</t>
  </si>
  <si>
    <t>10,22</t>
  </si>
  <si>
    <t>8,43</t>
  </si>
  <si>
    <t>24,35</t>
  </si>
  <si>
    <t>7,36</t>
  </si>
  <si>
    <t>4,6396228</t>
  </si>
  <si>
    <t>1,44</t>
  </si>
  <si>
    <t>6,68</t>
  </si>
  <si>
    <t>0,1705726</t>
  </si>
  <si>
    <t>39,03</t>
  </si>
  <si>
    <t>6,66</t>
  </si>
  <si>
    <t>8,12</t>
  </si>
  <si>
    <t>6,58</t>
  </si>
  <si>
    <t>10,70</t>
  </si>
  <si>
    <t>6,47</t>
  </si>
  <si>
    <t>20,70</t>
  </si>
  <si>
    <t>6,26</t>
  </si>
  <si>
    <t>21,13</t>
  </si>
  <si>
    <t>5,48</t>
  </si>
  <si>
    <t>4,42</t>
  </si>
  <si>
    <t>0,40</t>
  </si>
  <si>
    <t>4,35</t>
  </si>
  <si>
    <t>0,1683150</t>
  </si>
  <si>
    <t>25,74</t>
  </si>
  <si>
    <t>0,2073495</t>
  </si>
  <si>
    <t>20,82</t>
  </si>
  <si>
    <t>4,32</t>
  </si>
  <si>
    <t>4,30</t>
  </si>
  <si>
    <t>0,1546962</t>
  </si>
  <si>
    <t>27,27</t>
  </si>
  <si>
    <t>4,22</t>
  </si>
  <si>
    <t>13,40</t>
  </si>
  <si>
    <t>4,05</t>
  </si>
  <si>
    <t>1,4347668</t>
  </si>
  <si>
    <t>2,71</t>
  </si>
  <si>
    <t>3,89</t>
  </si>
  <si>
    <t>22,12</t>
  </si>
  <si>
    <t>3,34</t>
  </si>
  <si>
    <t>14,80</t>
  </si>
  <si>
    <t>2,66</t>
  </si>
  <si>
    <t>4.530,06</t>
  </si>
  <si>
    <t>2,60</t>
  </si>
  <si>
    <t>14,75</t>
  </si>
  <si>
    <t>2,23</t>
  </si>
  <si>
    <t>198.337,22</t>
  </si>
  <si>
    <t>2,12</t>
  </si>
  <si>
    <t>9,39</t>
  </si>
  <si>
    <t>2,05</t>
  </si>
  <si>
    <t>3,98</t>
  </si>
  <si>
    <t>1,81</t>
  </si>
  <si>
    <t>3,65</t>
  </si>
  <si>
    <t>1,65</t>
  </si>
  <si>
    <t>9,40</t>
  </si>
  <si>
    <t>1,42</t>
  </si>
  <si>
    <t>0,71</t>
  </si>
  <si>
    <t>1,30</t>
  </si>
  <si>
    <t>2,06</t>
  </si>
  <si>
    <t>0,93</t>
  </si>
  <si>
    <t>0,0734159</t>
  </si>
  <si>
    <t>0,69</t>
  </si>
  <si>
    <t>4,37</t>
  </si>
  <si>
    <t>0,66</t>
  </si>
  <si>
    <t>0,0223194</t>
  </si>
  <si>
    <t>22,39</t>
  </si>
  <si>
    <t>0,50</t>
  </si>
  <si>
    <t>1.548,76</t>
  </si>
  <si>
    <t>0,34</t>
  </si>
  <si>
    <t>12.284,98</t>
  </si>
  <si>
    <t>0,25</t>
  </si>
  <si>
    <t>0,1737372</t>
  </si>
  <si>
    <t>0,14</t>
  </si>
  <si>
    <t>6.180,01</t>
  </si>
  <si>
    <t>0,07</t>
  </si>
  <si>
    <t>R$  55.040,66</t>
  </si>
  <si>
    <t>R$  77.760,49</t>
  </si>
  <si>
    <t>R$  581.029,06</t>
  </si>
  <si>
    <t>R$  2.024,84</t>
  </si>
  <si>
    <t>R$  219,38</t>
  </si>
  <si>
    <t>R$  15.327,23</t>
  </si>
  <si>
    <t>SINAPI - 04/2023 - São Paulo
SBC - 06/2023 - São Paulo
SICRO3 - 01/2023 - São Paulo
SIURB - 01/2023 - São Paulo
SIURB INFRA - 01/2023 - São Paulo
CPOS/CDHU - 03/2023 - São Paulo
FDE - 04/2023 - São Paulo</t>
  </si>
  <si>
    <t>"A"</t>
  </si>
  <si>
    <t>"B"</t>
  </si>
  <si>
    <t>"C"</t>
  </si>
  <si>
    <t>Peso Acumulado (%)</t>
  </si>
  <si>
    <t>Classificação 50-30-20</t>
  </si>
  <si>
    <t>Engenheiro Civil</t>
  </si>
  <si>
    <t>Ricardo Chinaglia</t>
  </si>
  <si>
    <t>Engenheiro Coelho-SP</t>
  </si>
  <si>
    <t>Alexandre R. Gaino</t>
  </si>
  <si>
    <t>quarta-feira, 09 de agosto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</si>
</sst>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R$&quot;\ * #,##0.00_-;\-&quot;R$&quot;\ * #,##0.00_-;_-&quot;R$&quot;\ * &quot;-&quot;??_-;_-@_-"/>
    <numFmt numFmtId="43" formatCode="_-* #,##0.00_-;\-* #,##0.00_-;_-* &quot;-&quot;??_-;_-@_-"/>
    <numFmt numFmtId="164" formatCode="_(&quot;R$ &quot;* #,##0.00_);_(&quot;R$ &quot;* \(#,##0.00\);_(&quot;R$ &quot;* &quot;-&quot;??_);_(@_)"/>
    <numFmt numFmtId="165" formatCode="_(* #,##0.00_);_(* \(#,##0.00\);_(* \-??_);_(@_)"/>
    <numFmt numFmtId="166" formatCode="_(&quot;R$&quot;* #,##0.00_);_(&quot;R$&quot;* \(#,##0.00\);_(&quot;R$&quot;* \-??_);_(@_)"/>
    <numFmt numFmtId="167" formatCode="General;General;"/>
    <numFmt numFmtId="168" formatCode="[$-F800]dddd\,\ mmmm\ dd\,\ yyyy"/>
    <numFmt numFmtId="169" formatCode="dd\ &quot;de&quot;\ mmmm\ &quot;de&quot;\ yyyy"/>
    <numFmt numFmtId="170" formatCode="#,##0.00\ %"/>
    <numFmt numFmtId="171" formatCode="#,##0.00\ ;&quot; (&quot;#,##0.00\);&quot; -&quot;#\ ;@\ "/>
    <numFmt numFmtId="172" formatCode="0.0"/>
    <numFmt numFmtId="173" formatCode="_(* #,##0.00_);_(* \(#,##0.00\);_(* &quot;-&quot;??_);_(@_)"/>
    <numFmt numFmtId="174" formatCode="[$-416]mmm\-yy;@"/>
    <numFmt numFmtId="175" formatCode="0.00;\-0.00;;@"/>
    <numFmt numFmtId="176" formatCode="#,##0.0000000"/>
  </numFmts>
  <fonts count="48" x14ac:knownFonts="1">
    <font>
      <sz val="11"/>
      <name val="Arial"/>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1"/>
    </font>
    <font>
      <b/>
      <sz val="10"/>
      <color rgb="FF000000"/>
      <name val="Arial"/>
      <family val="1"/>
    </font>
    <font>
      <sz val="10"/>
      <color rgb="FF000000"/>
      <name val="Arial"/>
      <family val="1"/>
    </font>
    <font>
      <sz val="10"/>
      <name val="Arial"/>
      <family val="1"/>
    </font>
    <font>
      <b/>
      <sz val="10"/>
      <name val="Arial"/>
      <family val="1"/>
    </font>
    <font>
      <sz val="11"/>
      <name val="Arial"/>
      <family val="1"/>
    </font>
    <font>
      <sz val="10"/>
      <name val="Arial"/>
      <family val="2"/>
    </font>
    <font>
      <sz val="11"/>
      <name val="Arial"/>
      <family val="2"/>
    </font>
    <font>
      <sz val="9"/>
      <name val="Arial"/>
      <family val="2"/>
    </font>
    <font>
      <sz val="10"/>
      <name val="Arial"/>
      <family val="2"/>
      <charset val="1"/>
    </font>
    <font>
      <sz val="10"/>
      <name val="MS Sans Serif"/>
      <family val="2"/>
    </font>
    <font>
      <b/>
      <sz val="11"/>
      <name val="Arial"/>
      <family val="2"/>
    </font>
    <font>
      <b/>
      <sz val="10"/>
      <name val="Arial"/>
      <family val="2"/>
    </font>
    <font>
      <b/>
      <sz val="10"/>
      <color indexed="12"/>
      <name val="Arial"/>
      <family val="2"/>
    </font>
    <font>
      <b/>
      <sz val="20"/>
      <color indexed="10"/>
      <name val="Arial"/>
      <family val="2"/>
    </font>
    <font>
      <b/>
      <sz val="12"/>
      <color indexed="10"/>
      <name val="Arial"/>
      <family val="2"/>
    </font>
    <font>
      <b/>
      <sz val="11"/>
      <color indexed="12"/>
      <name val="Arial"/>
      <family val="2"/>
    </font>
    <font>
      <b/>
      <sz val="18"/>
      <name val="Arial"/>
      <family val="2"/>
    </font>
    <font>
      <sz val="10.5"/>
      <name val="Arial"/>
      <family val="2"/>
    </font>
    <font>
      <i/>
      <sz val="12"/>
      <name val="Calibri"/>
      <family val="2"/>
    </font>
    <font>
      <i/>
      <u/>
      <sz val="12"/>
      <name val="Calibri"/>
      <family val="2"/>
    </font>
    <font>
      <u/>
      <sz val="10"/>
      <name val="Arial"/>
      <family val="2"/>
    </font>
    <font>
      <sz val="12"/>
      <name val="Arial"/>
      <family val="2"/>
    </font>
    <font>
      <sz val="11"/>
      <color indexed="9"/>
      <name val="Arial"/>
      <family val="2"/>
    </font>
    <font>
      <b/>
      <sz val="12"/>
      <name val="Arial"/>
      <family val="2"/>
    </font>
    <font>
      <b/>
      <u/>
      <sz val="15"/>
      <name val="Arial"/>
      <family val="2"/>
    </font>
    <font>
      <sz val="10"/>
      <color indexed="8"/>
      <name val="Arial"/>
      <family val="2"/>
    </font>
    <font>
      <b/>
      <sz val="9"/>
      <name val="Arial"/>
      <family val="2"/>
    </font>
    <font>
      <u/>
      <sz val="10"/>
      <color theme="10"/>
      <name val="Arial"/>
      <family val="2"/>
    </font>
    <font>
      <sz val="12"/>
      <name val="Arial Narrow"/>
      <family val="2"/>
    </font>
    <font>
      <b/>
      <sz val="12"/>
      <name val="Arial Narrow"/>
      <family val="2"/>
    </font>
    <font>
      <sz val="11"/>
      <color theme="1"/>
      <name val="Arial"/>
      <family val="2"/>
    </font>
    <font>
      <b/>
      <sz val="11"/>
      <color theme="1"/>
      <name val="Arial"/>
      <family val="2"/>
    </font>
    <font>
      <b/>
      <sz val="16"/>
      <name val="Arial"/>
      <family val="2"/>
    </font>
    <font>
      <b/>
      <sz val="14"/>
      <name val="Arial"/>
      <family val="2"/>
    </font>
    <font>
      <b/>
      <sz val="8"/>
      <color rgb="FFFF0000"/>
      <name val="Arial"/>
      <family val="2"/>
    </font>
    <font>
      <b/>
      <sz val="10"/>
      <color rgb="FFFF0000"/>
      <name val="Arial"/>
      <family val="2"/>
    </font>
    <font>
      <u/>
      <sz val="10"/>
      <color indexed="12"/>
      <name val="Arial"/>
      <family val="2"/>
    </font>
    <font>
      <sz val="10"/>
      <color rgb="FFFF0000"/>
      <name val="Arial"/>
      <family val="2"/>
    </font>
    <font>
      <u/>
      <sz val="11"/>
      <color theme="10"/>
      <name val="Arial"/>
      <family val="1"/>
    </font>
    <font>
      <b/>
      <sz val="10"/>
      <color indexed="8"/>
      <name val="Arial"/>
      <family val="2"/>
    </font>
  </fonts>
  <fills count="20">
    <fill>
      <patternFill patternType="none"/>
    </fill>
    <fill>
      <patternFill patternType="gray125"/>
    </fill>
    <fill>
      <patternFill patternType="solid">
        <fgColor rgb="FFFFFFFF"/>
      </patternFill>
    </fill>
    <fill>
      <patternFill patternType="solid">
        <fgColor indexed="43"/>
        <bgColor indexed="64"/>
      </patternFill>
    </fill>
    <fill>
      <patternFill patternType="solid">
        <fgColor indexed="9"/>
        <bgColor indexed="64"/>
      </patternFill>
    </fill>
    <fill>
      <patternFill patternType="solid">
        <fgColor indexed="43"/>
        <bgColor indexed="26"/>
      </patternFill>
    </fill>
    <fill>
      <patternFill patternType="solid">
        <fgColor rgb="FF9E9E9E"/>
      </patternFill>
    </fill>
    <fill>
      <patternFill patternType="solid">
        <fgColor theme="0"/>
        <bgColor indexed="64"/>
      </patternFill>
    </fill>
    <fill>
      <patternFill patternType="solid">
        <fgColor theme="0"/>
        <bgColor indexed="26"/>
      </patternFill>
    </fill>
    <fill>
      <patternFill patternType="solid">
        <fgColor indexed="9"/>
        <bgColor indexed="26"/>
      </patternFill>
    </fill>
    <fill>
      <patternFill patternType="solid">
        <fgColor theme="0" tint="-0.499984740745262"/>
        <bgColor indexed="64"/>
      </patternFill>
    </fill>
    <fill>
      <patternFill patternType="gray0625">
        <bgColor theme="0" tint="-0.14999847407452621"/>
      </patternFill>
    </fill>
    <fill>
      <patternFill patternType="gray0625">
        <bgColor indexed="9"/>
      </patternFill>
    </fill>
    <fill>
      <patternFill patternType="gray0625">
        <bgColor theme="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EFEFEF"/>
      </patternFill>
    </fill>
    <fill>
      <patternFill patternType="solid">
        <fgColor rgb="FFD6D6D6"/>
      </patternFill>
    </fill>
    <fill>
      <patternFill patternType="solid">
        <fgColor theme="5" tint="0.39997558519241921"/>
        <bgColor indexed="64"/>
      </patternFill>
    </fill>
    <fill>
      <patternFill patternType="solid">
        <fgColor theme="4" tint="0.59999389629810485"/>
        <bgColor indexed="64"/>
      </patternFill>
    </fill>
  </fills>
  <borders count="31">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rgb="FFCCCCCC"/>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ck">
        <color rgb="FF000000"/>
      </top>
      <bottom/>
      <diagonal/>
    </border>
    <border>
      <left/>
      <right/>
      <top/>
      <bottom style="thick">
        <color rgb="FFFF5500"/>
      </bottom>
      <diagonal/>
    </border>
  </borders>
  <cellStyleXfs count="37">
    <xf numFmtId="0" fontId="0" fillId="0" borderId="0"/>
    <xf numFmtId="0" fontId="6" fillId="0" borderId="0"/>
    <xf numFmtId="9" fontId="6"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6" fillId="0" borderId="0"/>
    <xf numFmtId="0" fontId="13" fillId="0" borderId="0"/>
    <xf numFmtId="0" fontId="13" fillId="0" borderId="0"/>
    <xf numFmtId="9" fontId="16" fillId="0" borderId="0"/>
    <xf numFmtId="166" fontId="16" fillId="0" borderId="0"/>
    <xf numFmtId="165" fontId="16" fillId="0" borderId="0"/>
    <xf numFmtId="165" fontId="16" fillId="0" borderId="0"/>
    <xf numFmtId="0" fontId="16" fillId="0" borderId="0"/>
    <xf numFmtId="44" fontId="13" fillId="0" borderId="0" applyFill="0" applyBorder="0" applyAlignment="0" applyProtection="0"/>
    <xf numFmtId="0" fontId="17" fillId="0" borderId="0"/>
    <xf numFmtId="164" fontId="13" fillId="0" borderId="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13" fillId="0" borderId="0" applyFont="0" applyFill="0" applyBorder="0" applyAlignment="0" applyProtection="0"/>
    <xf numFmtId="44" fontId="13" fillId="0" borderId="0" applyFill="0" applyBorder="0" applyAlignment="0" applyProtection="0"/>
    <xf numFmtId="0" fontId="12" fillId="0" borderId="0"/>
    <xf numFmtId="164" fontId="13" fillId="0" borderId="0" applyFont="0" applyFill="0" applyBorder="0" applyAlignment="0" applyProtection="0"/>
    <xf numFmtId="0" fontId="15" fillId="0" borderId="0"/>
    <xf numFmtId="0" fontId="5" fillId="0" borderId="0"/>
    <xf numFmtId="0" fontId="4" fillId="0" borderId="0"/>
    <xf numFmtId="171" fontId="13" fillId="0" borderId="0"/>
    <xf numFmtId="0" fontId="35" fillId="0" borderId="0" applyNumberFormat="0" applyFill="0" applyBorder="0" applyAlignment="0" applyProtection="0"/>
    <xf numFmtId="164" fontId="13" fillId="0" borderId="0" applyFill="0" applyBorder="0" applyAlignment="0" applyProtection="0"/>
    <xf numFmtId="0" fontId="3" fillId="0" borderId="0"/>
    <xf numFmtId="0" fontId="2" fillId="0" borderId="0"/>
    <xf numFmtId="0" fontId="1" fillId="0" borderId="0"/>
    <xf numFmtId="173" fontId="13" fillId="0" borderId="0" applyFont="0" applyFill="0" applyBorder="0" applyAlignment="0" applyProtection="0"/>
    <xf numFmtId="171" fontId="13" fillId="0" borderId="0"/>
    <xf numFmtId="43"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cellStyleXfs>
  <cellXfs count="286">
    <xf numFmtId="0" fontId="0" fillId="0" borderId="0" xfId="0"/>
    <xf numFmtId="0" fontId="0" fillId="0" borderId="0" xfId="0"/>
    <xf numFmtId="0" fontId="7" fillId="2" borderId="0" xfId="0" applyFont="1" applyFill="1" applyAlignment="1">
      <alignment horizontal="left" vertical="top" wrapText="1"/>
    </xf>
    <xf numFmtId="0" fontId="11" fillId="2" borderId="0" xfId="0" applyFont="1" applyFill="1" applyAlignment="1">
      <alignment horizontal="left" vertical="top" wrapText="1"/>
    </xf>
    <xf numFmtId="0" fontId="13" fillId="0" borderId="0" xfId="7" applyFont="1" applyProtection="1"/>
    <xf numFmtId="0" fontId="19" fillId="0" borderId="2" xfId="7" applyFont="1" applyBorder="1" applyAlignment="1" applyProtection="1">
      <alignment horizontal="center"/>
    </xf>
    <xf numFmtId="10" fontId="20" fillId="0" borderId="2" xfId="7" applyNumberFormat="1" applyFont="1" applyFill="1" applyBorder="1" applyAlignment="1" applyProtection="1">
      <alignment horizontal="center"/>
    </xf>
    <xf numFmtId="0" fontId="19" fillId="0" borderId="2" xfId="7" applyFont="1" applyFill="1" applyBorder="1" applyAlignment="1" applyProtection="1">
      <alignment horizontal="center" vertical="center" wrapText="1"/>
    </xf>
    <xf numFmtId="0" fontId="21" fillId="0" borderId="0" xfId="7" applyFont="1" applyAlignment="1" applyProtection="1">
      <alignment vertical="top" wrapText="1"/>
    </xf>
    <xf numFmtId="0" fontId="14" fillId="0" borderId="2" xfId="7" applyFont="1" applyBorder="1" applyAlignment="1" applyProtection="1">
      <alignment horizontal="center" vertical="center"/>
    </xf>
    <xf numFmtId="4" fontId="18" fillId="0" borderId="2" xfId="7" applyNumberFormat="1" applyFont="1" applyFill="1" applyBorder="1" applyAlignment="1" applyProtection="1">
      <alignment horizontal="center" vertical="center"/>
    </xf>
    <xf numFmtId="10" fontId="14" fillId="0" borderId="2" xfId="7" applyNumberFormat="1" applyFont="1" applyFill="1" applyBorder="1" applyAlignment="1" applyProtection="1">
      <alignment horizontal="center" vertical="center"/>
    </xf>
    <xf numFmtId="10" fontId="14" fillId="0" borderId="2" xfId="7" applyNumberFormat="1" applyFont="1" applyFill="1" applyBorder="1" applyAlignment="1" applyProtection="1">
      <alignment horizontal="center" vertical="center" wrapText="1"/>
    </xf>
    <xf numFmtId="0" fontId="14" fillId="0" borderId="2" xfId="7" applyFont="1" applyFill="1" applyBorder="1" applyAlignment="1" applyProtection="1">
      <alignment horizontal="center" vertical="center" wrapText="1"/>
    </xf>
    <xf numFmtId="0" fontId="22" fillId="0" borderId="0" xfId="7" applyFont="1" applyAlignment="1" applyProtection="1">
      <alignment wrapText="1"/>
    </xf>
    <xf numFmtId="4" fontId="18" fillId="0" borderId="0" xfId="7" applyNumberFormat="1" applyFont="1" applyFill="1" applyBorder="1" applyAlignment="1" applyProtection="1">
      <alignment horizontal="center" vertical="center" wrapText="1"/>
    </xf>
    <xf numFmtId="0" fontId="13" fillId="0" borderId="0" xfId="7" applyFont="1" applyProtection="1">
      <protection locked="0"/>
    </xf>
    <xf numFmtId="0" fontId="14" fillId="0" borderId="0" xfId="7" applyFont="1" applyAlignment="1" applyProtection="1">
      <alignment vertical="top"/>
    </xf>
    <xf numFmtId="0" fontId="14" fillId="0" borderId="0" xfId="7" applyFont="1" applyProtection="1"/>
    <xf numFmtId="0" fontId="0" fillId="0" borderId="0" xfId="0"/>
    <xf numFmtId="0" fontId="24" fillId="0" borderId="2" xfId="7" applyFont="1" applyBorder="1" applyAlignment="1" applyProtection="1">
      <alignment horizontal="center" vertical="center"/>
    </xf>
    <xf numFmtId="0" fontId="13" fillId="0" borderId="0" xfId="7" applyFont="1" applyBorder="1" applyAlignment="1" applyProtection="1">
      <alignment horizontal="center" vertical="top"/>
    </xf>
    <xf numFmtId="0" fontId="28" fillId="0" borderId="0" xfId="7" applyFont="1" applyBorder="1" applyAlignment="1" applyProtection="1">
      <alignment horizontal="center" vertical="top"/>
    </xf>
    <xf numFmtId="4" fontId="18" fillId="0" borderId="2" xfId="7" applyNumberFormat="1" applyFont="1" applyFill="1" applyBorder="1" applyAlignment="1" applyProtection="1">
      <alignment horizontal="center" vertical="center" wrapText="1"/>
    </xf>
    <xf numFmtId="0" fontId="30" fillId="0" borderId="0" xfId="7" applyFont="1" applyFill="1" applyBorder="1" applyAlignment="1" applyProtection="1">
      <alignment horizontal="center" vertical="center" wrapText="1"/>
    </xf>
    <xf numFmtId="10" fontId="30" fillId="0" borderId="0" xfId="7" applyNumberFormat="1" applyFont="1" applyFill="1" applyBorder="1" applyAlignment="1" applyProtection="1">
      <alignment horizontal="center" vertical="center"/>
    </xf>
    <xf numFmtId="169" fontId="13" fillId="0" borderId="0" xfId="7" applyNumberFormat="1" applyFont="1" applyAlignment="1" applyProtection="1"/>
    <xf numFmtId="0" fontId="19" fillId="0" borderId="6" xfId="7" applyFont="1" applyBorder="1" applyAlignment="1" applyProtection="1">
      <alignment horizontal="left"/>
    </xf>
    <xf numFmtId="0" fontId="13" fillId="0" borderId="6" xfId="7" applyFont="1" applyBorder="1" applyProtection="1"/>
    <xf numFmtId="0" fontId="14" fillId="0" borderId="0" xfId="7" applyFont="1" applyBorder="1" applyProtection="1"/>
    <xf numFmtId="0" fontId="13" fillId="0" borderId="0" xfId="7" applyFont="1" applyBorder="1" applyProtection="1"/>
    <xf numFmtId="0" fontId="19" fillId="0" borderId="0" xfId="23" applyFont="1" applyBorder="1" applyAlignment="1" applyProtection="1">
      <alignment horizontal="left" vertical="top"/>
    </xf>
    <xf numFmtId="0" fontId="19" fillId="0" borderId="0" xfId="7" applyFont="1" applyAlignment="1" applyProtection="1">
      <alignment horizontal="center"/>
    </xf>
    <xf numFmtId="0" fontId="31" fillId="0" borderId="0" xfId="7" applyFont="1" applyAlignment="1" applyProtection="1">
      <alignment horizontal="center"/>
    </xf>
    <xf numFmtId="0" fontId="4" fillId="0" borderId="0" xfId="25"/>
    <xf numFmtId="0" fontId="32" fillId="0" borderId="0" xfId="7" applyFont="1" applyAlignment="1" applyProtection="1"/>
    <xf numFmtId="0" fontId="19" fillId="0" borderId="0" xfId="7" applyFont="1" applyProtection="1"/>
    <xf numFmtId="0" fontId="0" fillId="0" borderId="0" xfId="0"/>
    <xf numFmtId="0" fontId="11" fillId="2" borderId="0" xfId="0" applyFont="1" applyFill="1" applyAlignment="1">
      <alignment horizontal="left" vertical="top" wrapText="1"/>
    </xf>
    <xf numFmtId="0" fontId="7" fillId="2" borderId="0" xfId="29" applyFont="1" applyFill="1" applyAlignment="1">
      <alignment horizontal="left" vertical="center" wrapText="1"/>
    </xf>
    <xf numFmtId="0" fontId="3" fillId="0" borderId="0" xfId="29" applyAlignment="1">
      <alignment vertical="center"/>
    </xf>
    <xf numFmtId="0" fontId="11" fillId="2" borderId="0" xfId="29" applyFont="1" applyFill="1" applyAlignment="1">
      <alignment horizontal="left" vertical="center" wrapText="1"/>
    </xf>
    <xf numFmtId="0" fontId="11" fillId="0" borderId="0" xfId="29" applyFont="1" applyFill="1" applyAlignment="1">
      <alignment horizontal="left" vertical="center" wrapText="1"/>
    </xf>
    <xf numFmtId="0" fontId="33" fillId="0" borderId="0" xfId="29" applyFont="1" applyAlignment="1">
      <alignment vertical="center"/>
    </xf>
    <xf numFmtId="4" fontId="33" fillId="0" borderId="0" xfId="29" applyNumberFormat="1" applyFont="1" applyAlignment="1">
      <alignment vertical="center"/>
    </xf>
    <xf numFmtId="170" fontId="9" fillId="2" borderId="1" xfId="0" applyNumberFormat="1" applyFont="1" applyFill="1" applyBorder="1" applyAlignment="1">
      <alignment horizontal="right" vertical="top" wrapText="1"/>
    </xf>
    <xf numFmtId="0" fontId="11" fillId="2" borderId="0" xfId="29" applyFont="1" applyFill="1" applyAlignment="1">
      <alignment horizontal="left" vertical="center" wrapText="1"/>
    </xf>
    <xf numFmtId="0" fontId="0" fillId="0" borderId="0" xfId="0"/>
    <xf numFmtId="0" fontId="0" fillId="0" borderId="0" xfId="0" applyAlignment="1">
      <alignment wrapText="1"/>
    </xf>
    <xf numFmtId="0" fontId="0" fillId="0" borderId="0" xfId="0"/>
    <xf numFmtId="0" fontId="11" fillId="2" borderId="0" xfId="0" applyFont="1" applyFill="1" applyAlignment="1">
      <alignment horizontal="center"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right" vertical="top" wrapText="1"/>
    </xf>
    <xf numFmtId="4" fontId="9" fillId="2" borderId="1" xfId="0" applyNumberFormat="1" applyFont="1" applyFill="1" applyBorder="1" applyAlignment="1">
      <alignment horizontal="right" vertical="top" wrapText="1"/>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0" applyFont="1" applyFill="1" applyAlignment="1">
      <alignment horizontal="left" vertical="top" wrapText="1"/>
    </xf>
    <xf numFmtId="0" fontId="0" fillId="0" borderId="0" xfId="0"/>
    <xf numFmtId="0" fontId="7" fillId="2" borderId="0" xfId="29" applyFont="1" applyFill="1" applyAlignment="1">
      <alignment horizontal="left" vertical="center" wrapText="1"/>
    </xf>
    <xf numFmtId="0" fontId="19" fillId="2" borderId="0" xfId="29" applyFont="1" applyFill="1" applyAlignment="1">
      <alignment horizontal="left" vertical="center" wrapText="1"/>
    </xf>
    <xf numFmtId="0" fontId="11" fillId="2" borderId="0" xfId="29" applyFont="1" applyFill="1" applyAlignment="1">
      <alignment horizontal="left" vertical="center" wrapText="1"/>
    </xf>
    <xf numFmtId="10" fontId="19" fillId="2" borderId="0" xfId="29" applyNumberFormat="1" applyFont="1" applyFill="1" applyAlignment="1">
      <alignment horizontal="left" vertical="center" wrapText="1"/>
    </xf>
    <xf numFmtId="0" fontId="9" fillId="2" borderId="1" xfId="0" applyFont="1" applyFill="1" applyBorder="1" applyAlignment="1">
      <alignment horizontal="left" vertical="top" wrapText="1"/>
    </xf>
    <xf numFmtId="10" fontId="11" fillId="2" borderId="0" xfId="0" applyNumberFormat="1" applyFont="1" applyFill="1" applyAlignment="1">
      <alignment horizontal="left" vertical="top" wrapText="1"/>
    </xf>
    <xf numFmtId="0" fontId="0" fillId="0" borderId="0" xfId="0" applyAlignment="1"/>
    <xf numFmtId="0" fontId="7" fillId="2" borderId="1" xfId="0" applyFont="1" applyFill="1" applyBorder="1" applyAlignment="1">
      <alignment horizontal="left" vertical="top" wrapText="1"/>
    </xf>
    <xf numFmtId="0" fontId="7" fillId="2" borderId="1" xfId="0" applyFont="1" applyFill="1" applyBorder="1" applyAlignment="1">
      <alignment horizontal="right" vertical="top" wrapText="1"/>
    </xf>
    <xf numFmtId="0" fontId="7" fillId="2" borderId="1" xfId="0" applyFont="1" applyFill="1" applyBorder="1" applyAlignment="1">
      <alignment horizontal="center" vertical="top" wrapText="1"/>
    </xf>
    <xf numFmtId="172" fontId="36" fillId="4" borderId="0" xfId="7" applyNumberFormat="1" applyFont="1" applyFill="1" applyAlignment="1">
      <alignment horizontal="left" vertical="center"/>
    </xf>
    <xf numFmtId="0" fontId="7" fillId="2" borderId="0" xfId="0" applyFont="1" applyFill="1" applyAlignment="1">
      <alignment vertical="top" wrapText="1"/>
    </xf>
    <xf numFmtId="172" fontId="37" fillId="4" borderId="0" xfId="7" applyNumberFormat="1" applyFont="1" applyFill="1" applyAlignment="1">
      <alignment horizontal="left" vertical="center"/>
    </xf>
    <xf numFmtId="10" fontId="14" fillId="5" borderId="14" xfId="7" applyNumberFormat="1" applyFont="1" applyFill="1" applyBorder="1" applyAlignment="1" applyProtection="1">
      <alignment horizontal="center" vertical="center"/>
      <protection locked="0"/>
    </xf>
    <xf numFmtId="0" fontId="8" fillId="6" borderId="1" xfId="0" applyFont="1" applyFill="1" applyBorder="1" applyAlignment="1">
      <alignment horizontal="left" vertical="top" wrapText="1"/>
    </xf>
    <xf numFmtId="0" fontId="8" fillId="6" borderId="1" xfId="0" applyFont="1" applyFill="1" applyBorder="1" applyAlignment="1">
      <alignment horizontal="right" vertical="top" wrapText="1"/>
    </xf>
    <xf numFmtId="4" fontId="8" fillId="6" borderId="1" xfId="0" applyNumberFormat="1" applyFont="1" applyFill="1" applyBorder="1" applyAlignment="1">
      <alignment horizontal="right" vertical="top" wrapText="1"/>
    </xf>
    <xf numFmtId="170" fontId="8" fillId="6" borderId="1" xfId="0" applyNumberFormat="1" applyFont="1" applyFill="1" applyBorder="1" applyAlignment="1">
      <alignment horizontal="right" vertical="top" wrapText="1"/>
    </xf>
    <xf numFmtId="43" fontId="11" fillId="2" borderId="0" xfId="29" applyNumberFormat="1" applyFont="1" applyFill="1" applyAlignment="1">
      <alignment horizontal="left" vertical="center" wrapText="1"/>
    </xf>
    <xf numFmtId="43" fontId="0" fillId="0" borderId="0" xfId="0" applyNumberFormat="1" applyAlignment="1">
      <alignment wrapText="1"/>
    </xf>
    <xf numFmtId="43" fontId="3" fillId="0" borderId="0" xfId="29" applyNumberFormat="1" applyAlignment="1">
      <alignment vertical="center" wrapText="1"/>
    </xf>
    <xf numFmtId="0" fontId="7" fillId="2" borderId="1" xfId="0" applyFont="1" applyFill="1" applyBorder="1" applyAlignment="1">
      <alignment horizontal="right" vertical="center" wrapText="1"/>
    </xf>
    <xf numFmtId="43" fontId="7" fillId="2" borderId="1" xfId="0" applyNumberFormat="1" applyFont="1" applyFill="1" applyBorder="1" applyAlignment="1">
      <alignment horizontal="right" vertical="center" wrapText="1"/>
    </xf>
    <xf numFmtId="0" fontId="8" fillId="6" borderId="1" xfId="0" applyFont="1" applyFill="1" applyBorder="1" applyAlignment="1">
      <alignment horizontal="left" vertical="center" wrapText="1"/>
    </xf>
    <xf numFmtId="43" fontId="8" fillId="6" borderId="1" xfId="0" applyNumberFormat="1" applyFont="1" applyFill="1" applyBorder="1" applyAlignment="1">
      <alignment horizontal="right" vertical="center" wrapText="1"/>
    </xf>
    <xf numFmtId="0" fontId="9" fillId="2" borderId="1" xfId="0" applyFont="1" applyFill="1" applyBorder="1" applyAlignment="1">
      <alignment horizontal="right" vertical="center" wrapText="1"/>
    </xf>
    <xf numFmtId="43" fontId="0" fillId="0" borderId="0" xfId="0" applyNumberFormat="1" applyAlignment="1">
      <alignment vertical="center" wrapText="1"/>
    </xf>
    <xf numFmtId="0" fontId="0" fillId="0" borderId="0" xfId="0" applyAlignment="1">
      <alignment vertical="center" wrapText="1"/>
    </xf>
    <xf numFmtId="43" fontId="9" fillId="2" borderId="1" xfId="0" applyNumberFormat="1" applyFont="1" applyFill="1" applyBorder="1" applyAlignment="1">
      <alignment horizontal="right" vertical="center" wrapText="1"/>
    </xf>
    <xf numFmtId="0" fontId="10" fillId="2" borderId="0" xfId="0" applyFont="1" applyFill="1" applyAlignment="1">
      <alignment horizontal="center" vertical="center" wrapText="1"/>
    </xf>
    <xf numFmtId="43" fontId="10" fillId="2" borderId="0" xfId="0" applyNumberFormat="1" applyFont="1" applyFill="1" applyAlignment="1">
      <alignment horizontal="center" vertical="center" wrapText="1"/>
    </xf>
    <xf numFmtId="0" fontId="0" fillId="0" borderId="0" xfId="0" applyAlignment="1">
      <alignment vertical="center"/>
    </xf>
    <xf numFmtId="0" fontId="0" fillId="0" borderId="0" xfId="0" applyFill="1" applyAlignment="1">
      <alignment horizontal="right" vertical="center" wrapText="1"/>
    </xf>
    <xf numFmtId="0" fontId="11" fillId="2" borderId="0" xfId="29" applyFont="1" applyFill="1" applyAlignment="1">
      <alignment horizontal="center" vertical="center" wrapText="1"/>
    </xf>
    <xf numFmtId="0" fontId="11" fillId="2" borderId="0" xfId="0" applyFont="1" applyFill="1" applyAlignment="1">
      <alignment horizontal="right" vertical="top" wrapText="1"/>
    </xf>
    <xf numFmtId="0" fontId="0" fillId="0" borderId="0" xfId="0"/>
    <xf numFmtId="0" fontId="11" fillId="2" borderId="0" xfId="0" applyFont="1" applyFill="1" applyAlignment="1">
      <alignment horizontal="left" vertical="top" wrapText="1"/>
    </xf>
    <xf numFmtId="0" fontId="11" fillId="2" borderId="0" xfId="0" applyFont="1" applyFill="1" applyAlignment="1">
      <alignment horizontal="right" vertical="top" wrapText="1"/>
    </xf>
    <xf numFmtId="4" fontId="11" fillId="2" borderId="0" xfId="0" applyNumberFormat="1" applyFont="1" applyFill="1" applyAlignment="1">
      <alignment horizontal="right" vertical="top" wrapText="1"/>
    </xf>
    <xf numFmtId="0" fontId="10" fillId="2" borderId="0" xfId="0" applyFont="1" applyFill="1" applyAlignment="1">
      <alignment horizontal="center" vertical="top" wrapText="1"/>
    </xf>
    <xf numFmtId="0" fontId="0" fillId="0" borderId="0" xfId="0"/>
    <xf numFmtId="0" fontId="7" fillId="2" borderId="1" xfId="0" applyFont="1" applyFill="1" applyBorder="1" applyAlignment="1">
      <alignment horizontal="right"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38" fillId="7" borderId="0" xfId="31" applyFont="1" applyFill="1"/>
    <xf numFmtId="0" fontId="19" fillId="8" borderId="0" xfId="31" applyFont="1" applyFill="1"/>
    <xf numFmtId="0" fontId="38" fillId="0" borderId="0" xfId="31" applyFont="1"/>
    <xf numFmtId="0" fontId="31" fillId="9" borderId="0" xfId="31" applyFont="1" applyFill="1" applyAlignment="1">
      <alignment horizontal="center" vertical="top"/>
    </xf>
    <xf numFmtId="0" fontId="34" fillId="9" borderId="0" xfId="31" applyFont="1" applyFill="1" applyAlignment="1">
      <alignment horizontal="left" vertical="top"/>
    </xf>
    <xf numFmtId="0" fontId="19" fillId="7" borderId="0" xfId="31" applyFont="1" applyFill="1"/>
    <xf numFmtId="164" fontId="38" fillId="7" borderId="0" xfId="16" applyFont="1" applyFill="1"/>
    <xf numFmtId="173" fontId="31" fillId="7" borderId="0" xfId="32" applyFont="1" applyFill="1" applyBorder="1" applyAlignment="1" applyProtection="1"/>
    <xf numFmtId="0" fontId="19" fillId="9" borderId="0" xfId="31" applyFont="1" applyFill="1"/>
    <xf numFmtId="174" fontId="19" fillId="4" borderId="0" xfId="33" applyNumberFormat="1" applyFont="1" applyFill="1" applyAlignment="1">
      <alignment vertical="center"/>
    </xf>
    <xf numFmtId="174" fontId="19" fillId="7" borderId="0" xfId="33" applyNumberFormat="1" applyFont="1" applyFill="1" applyAlignment="1">
      <alignment vertical="center"/>
    </xf>
    <xf numFmtId="0" fontId="19" fillId="9" borderId="0" xfId="31" applyFont="1" applyFill="1" applyAlignment="1">
      <alignment horizontal="left"/>
    </xf>
    <xf numFmtId="0" fontId="41" fillId="9" borderId="0" xfId="31" applyFont="1" applyFill="1" applyAlignment="1">
      <alignment horizontal="left"/>
    </xf>
    <xf numFmtId="0" fontId="38" fillId="10" borderId="0" xfId="31" applyFont="1" applyFill="1"/>
    <xf numFmtId="0" fontId="42" fillId="7" borderId="0" xfId="31" applyFont="1" applyFill="1" applyAlignment="1">
      <alignment horizontal="left"/>
    </xf>
    <xf numFmtId="0" fontId="19" fillId="9" borderId="10" xfId="31" applyFont="1" applyFill="1" applyBorder="1" applyAlignment="1">
      <alignment horizontal="left" wrapText="1"/>
    </xf>
    <xf numFmtId="175" fontId="19" fillId="9" borderId="0" xfId="31" applyNumberFormat="1" applyFont="1" applyFill="1" applyAlignment="1">
      <alignment horizontal="center" wrapText="1"/>
    </xf>
    <xf numFmtId="49" fontId="19" fillId="9" borderId="0" xfId="31" applyNumberFormat="1" applyFont="1" applyFill="1" applyAlignment="1">
      <alignment wrapText="1"/>
    </xf>
    <xf numFmtId="174" fontId="13" fillId="4" borderId="0" xfId="33" applyNumberFormat="1" applyFont="1" applyFill="1" applyAlignment="1">
      <alignment vertical="center" wrapText="1"/>
    </xf>
    <xf numFmtId="174" fontId="43" fillId="4" borderId="0" xfId="33" applyNumberFormat="1" applyFont="1" applyFill="1" applyAlignment="1">
      <alignment vertical="center" wrapText="1"/>
    </xf>
    <xf numFmtId="0" fontId="38" fillId="0" borderId="0" xfId="31" applyFont="1" applyAlignment="1">
      <alignment wrapText="1"/>
    </xf>
    <xf numFmtId="0" fontId="38" fillId="7" borderId="0" xfId="31" applyFont="1" applyFill="1" applyAlignment="1">
      <alignment wrapText="1"/>
    </xf>
    <xf numFmtId="164" fontId="38" fillId="7" borderId="0" xfId="16" applyFont="1" applyFill="1" applyAlignment="1">
      <alignment wrapText="1"/>
    </xf>
    <xf numFmtId="0" fontId="19" fillId="4" borderId="0" xfId="31" quotePrefix="1" applyFont="1" applyFill="1" applyAlignment="1">
      <alignment horizontal="left" vertical="center" wrapText="1"/>
    </xf>
    <xf numFmtId="0" fontId="38" fillId="15" borderId="22" xfId="31" applyFont="1" applyFill="1" applyBorder="1" applyAlignment="1">
      <alignment horizontal="left" vertical="center" wrapText="1"/>
    </xf>
    <xf numFmtId="0" fontId="38" fillId="14" borderId="22" xfId="31" applyFont="1" applyFill="1" applyBorder="1" applyAlignment="1">
      <alignment horizontal="center" vertical="center"/>
    </xf>
    <xf numFmtId="43" fontId="38" fillId="14" borderId="24" xfId="34" applyFont="1" applyFill="1" applyBorder="1" applyAlignment="1">
      <alignment horizontal="center" vertical="center"/>
    </xf>
    <xf numFmtId="44" fontId="45" fillId="0" borderId="22" xfId="35" applyFont="1" applyFill="1" applyBorder="1" applyAlignment="1" applyProtection="1">
      <alignment horizontal="center" vertical="center"/>
    </xf>
    <xf numFmtId="44" fontId="13" fillId="0" borderId="23" xfId="35" applyFont="1" applyFill="1" applyBorder="1" applyAlignment="1" applyProtection="1">
      <alignment horizontal="center" vertical="center"/>
    </xf>
    <xf numFmtId="44" fontId="13" fillId="0" borderId="24" xfId="35" applyFont="1" applyFill="1" applyBorder="1" applyAlignment="1" applyProtection="1">
      <alignment horizontal="center" vertical="center"/>
    </xf>
    <xf numFmtId="44" fontId="13" fillId="0" borderId="22" xfId="35" applyFont="1" applyFill="1" applyBorder="1" applyAlignment="1" applyProtection="1">
      <alignment horizontal="center" vertical="center"/>
    </xf>
    <xf numFmtId="164" fontId="38" fillId="14" borderId="25" xfId="16" applyFont="1" applyFill="1" applyBorder="1" applyAlignment="1">
      <alignment horizontal="center" vertical="center"/>
    </xf>
    <xf numFmtId="44" fontId="38" fillId="0" borderId="0" xfId="31" applyNumberFormat="1" applyFont="1"/>
    <xf numFmtId="0" fontId="38" fillId="14" borderId="26" xfId="31" applyFont="1" applyFill="1" applyBorder="1" applyAlignment="1">
      <alignment horizontal="center" vertical="center"/>
    </xf>
    <xf numFmtId="43" fontId="38" fillId="14" borderId="27" xfId="34" applyFont="1" applyFill="1" applyBorder="1" applyAlignment="1">
      <alignment horizontal="center" vertical="center"/>
    </xf>
    <xf numFmtId="44" fontId="13" fillId="0" borderId="7" xfId="35" applyFont="1" applyFill="1" applyBorder="1" applyAlignment="1" applyProtection="1">
      <alignment horizontal="center" vertical="center"/>
    </xf>
    <xf numFmtId="44" fontId="13" fillId="0" borderId="27" xfId="35" applyFont="1" applyFill="1" applyBorder="1" applyAlignment="1" applyProtection="1">
      <alignment horizontal="center" vertical="center"/>
    </xf>
    <xf numFmtId="44" fontId="13" fillId="0" borderId="26" xfId="35" applyFont="1" applyFill="1" applyBorder="1" applyAlignment="1" applyProtection="1">
      <alignment horizontal="center" vertical="center"/>
    </xf>
    <xf numFmtId="164" fontId="38" fillId="14" borderId="28" xfId="16" applyFont="1" applyFill="1" applyBorder="1" applyAlignment="1">
      <alignment horizontal="center" vertical="center"/>
    </xf>
    <xf numFmtId="0" fontId="38" fillId="0" borderId="26" xfId="31" applyFont="1" applyBorder="1" applyAlignment="1">
      <alignment horizontal="left" vertical="center" wrapText="1"/>
    </xf>
    <xf numFmtId="0" fontId="8" fillId="6" borderId="1" xfId="0" applyFont="1" applyFill="1" applyBorder="1" applyAlignment="1">
      <alignment horizontal="left" vertical="top" wrapText="1"/>
    </xf>
    <xf numFmtId="0" fontId="9" fillId="2" borderId="1" xfId="0" applyFont="1" applyFill="1" applyBorder="1" applyAlignment="1">
      <alignment horizontal="left" vertical="top" wrapText="1"/>
    </xf>
    <xf numFmtId="176" fontId="9" fillId="2" borderId="1" xfId="0" applyNumberFormat="1" applyFont="1" applyFill="1" applyBorder="1" applyAlignment="1">
      <alignment horizontal="right" vertical="top" wrapText="1"/>
    </xf>
    <xf numFmtId="0" fontId="10" fillId="16" borderId="1" xfId="0" applyFont="1" applyFill="1" applyBorder="1" applyAlignment="1">
      <alignment horizontal="right" vertical="top" wrapText="1"/>
    </xf>
    <xf numFmtId="0" fontId="10" fillId="16" borderId="1" xfId="0" applyFont="1" applyFill="1" applyBorder="1" applyAlignment="1">
      <alignment horizontal="left" vertical="top" wrapText="1"/>
    </xf>
    <xf numFmtId="0" fontId="10" fillId="16" borderId="1" xfId="0" applyFont="1" applyFill="1" applyBorder="1" applyAlignment="1">
      <alignment horizontal="center" vertical="top" wrapText="1"/>
    </xf>
    <xf numFmtId="176" fontId="10" fillId="16" borderId="1" xfId="0" applyNumberFormat="1" applyFont="1" applyFill="1" applyBorder="1" applyAlignment="1">
      <alignment horizontal="right" vertical="top" wrapText="1"/>
    </xf>
    <xf numFmtId="4" fontId="10" fillId="16" borderId="1" xfId="0" applyNumberFormat="1" applyFont="1" applyFill="1" applyBorder="1" applyAlignment="1">
      <alignment horizontal="right" vertical="top" wrapText="1"/>
    </xf>
    <xf numFmtId="4" fontId="10" fillId="2" borderId="0" xfId="0" applyNumberFormat="1" applyFont="1" applyFill="1" applyAlignment="1">
      <alignment horizontal="right" vertical="top" wrapText="1"/>
    </xf>
    <xf numFmtId="0" fontId="10" fillId="2" borderId="0" xfId="0" applyFont="1" applyFill="1" applyAlignment="1">
      <alignment horizontal="right" vertical="top" wrapText="1"/>
    </xf>
    <xf numFmtId="176" fontId="11" fillId="2" borderId="0" xfId="0" applyNumberFormat="1" applyFont="1" applyFill="1" applyAlignment="1">
      <alignment horizontal="right" vertical="top" wrapText="1"/>
    </xf>
    <xf numFmtId="0" fontId="9" fillId="2" borderId="29" xfId="0" applyFont="1" applyFill="1" applyBorder="1" applyAlignment="1">
      <alignment horizontal="left" vertical="top" wrapText="1"/>
    </xf>
    <xf numFmtId="0" fontId="10" fillId="17" borderId="1" xfId="0" applyFont="1" applyFill="1" applyBorder="1" applyAlignment="1">
      <alignment horizontal="right" vertical="top" wrapText="1"/>
    </xf>
    <xf numFmtId="0" fontId="10" fillId="17" borderId="1" xfId="0" applyFont="1" applyFill="1" applyBorder="1" applyAlignment="1">
      <alignment horizontal="left" vertical="top" wrapText="1"/>
    </xf>
    <xf numFmtId="0" fontId="10" fillId="17" borderId="1" xfId="0" applyFont="1" applyFill="1" applyBorder="1" applyAlignment="1">
      <alignment horizontal="center" vertical="top" wrapText="1"/>
    </xf>
    <xf numFmtId="176" fontId="10" fillId="17" borderId="1" xfId="0" applyNumberFormat="1" applyFont="1" applyFill="1" applyBorder="1" applyAlignment="1">
      <alignment horizontal="right" vertical="top" wrapText="1"/>
    </xf>
    <xf numFmtId="4" fontId="10" fillId="17" borderId="1" xfId="0" applyNumberFormat="1" applyFont="1" applyFill="1" applyBorder="1" applyAlignment="1">
      <alignment horizontal="right" vertical="top" wrapText="1"/>
    </xf>
    <xf numFmtId="0" fontId="9" fillId="6" borderId="30" xfId="0" applyFont="1" applyFill="1" applyBorder="1" applyAlignment="1">
      <alignment horizontal="right" vertical="top" wrapText="1"/>
    </xf>
    <xf numFmtId="172" fontId="36" fillId="0" borderId="0" xfId="7" applyNumberFormat="1" applyFont="1" applyFill="1" applyAlignment="1">
      <alignment horizontal="left" vertical="center"/>
    </xf>
    <xf numFmtId="43" fontId="9" fillId="0" borderId="1" xfId="0" applyNumberFormat="1" applyFont="1" applyFill="1" applyBorder="1" applyAlignment="1">
      <alignment horizontal="right" vertical="center" wrapText="1"/>
    </xf>
    <xf numFmtId="43" fontId="0" fillId="0" borderId="0" xfId="0" applyNumberFormat="1" applyFill="1" applyAlignment="1">
      <alignment vertical="center" wrapText="1"/>
    </xf>
    <xf numFmtId="0" fontId="0" fillId="0" borderId="0" xfId="0" applyFill="1" applyAlignment="1">
      <alignment vertical="center" wrapText="1"/>
    </xf>
    <xf numFmtId="4" fontId="9" fillId="0" borderId="1" xfId="0" applyNumberFormat="1" applyFont="1" applyFill="1" applyBorder="1" applyAlignment="1">
      <alignment horizontal="right" vertical="center" wrapText="1"/>
    </xf>
    <xf numFmtId="0" fontId="10" fillId="2" borderId="0" xfId="0" applyFont="1" applyFill="1" applyAlignment="1">
      <alignment vertical="center" wrapText="1"/>
    </xf>
    <xf numFmtId="0" fontId="7" fillId="2" borderId="0" xfId="29" applyFont="1" applyFill="1" applyAlignment="1">
      <alignment horizontal="left" vertical="center" wrapText="1"/>
    </xf>
    <xf numFmtId="0" fontId="11" fillId="2" borderId="0" xfId="29" applyFont="1" applyFill="1" applyAlignment="1">
      <alignment horizontal="left" vertical="center" wrapText="1"/>
    </xf>
    <xf numFmtId="0" fontId="10" fillId="2" borderId="0" xfId="0" applyFont="1" applyFill="1" applyAlignment="1">
      <alignment horizontal="center" vertical="top" wrapText="1"/>
    </xf>
    <xf numFmtId="0" fontId="0" fillId="0" borderId="0" xfId="0"/>
    <xf numFmtId="0" fontId="11" fillId="2" borderId="0" xfId="0" applyFont="1" applyFill="1" applyAlignment="1">
      <alignment horizontal="right" vertical="top" wrapText="1"/>
    </xf>
    <xf numFmtId="0" fontId="9" fillId="2" borderId="1" xfId="0" applyFont="1" applyFill="1" applyBorder="1" applyAlignment="1">
      <alignment horizontal="left" vertical="top" wrapText="1"/>
    </xf>
    <xf numFmtId="0" fontId="10" fillId="2" borderId="0" xfId="0" applyFont="1" applyFill="1" applyAlignment="1">
      <alignment horizontal="center" vertical="top" wrapText="1"/>
    </xf>
    <xf numFmtId="0" fontId="47" fillId="0" borderId="0" xfId="29" applyFont="1" applyAlignment="1">
      <alignment horizontal="center" vertical="center" wrapText="1"/>
    </xf>
    <xf numFmtId="170" fontId="33" fillId="0" borderId="0" xfId="29" applyNumberFormat="1" applyFont="1" applyAlignment="1">
      <alignment vertical="center"/>
    </xf>
    <xf numFmtId="10" fontId="33" fillId="0" borderId="0" xfId="29" applyNumberFormat="1" applyFont="1" applyAlignment="1">
      <alignment vertical="center"/>
    </xf>
    <xf numFmtId="0" fontId="33" fillId="18" borderId="0" xfId="29" applyFont="1" applyFill="1" applyAlignment="1">
      <alignment horizontal="center" vertical="center"/>
    </xf>
    <xf numFmtId="0" fontId="7" fillId="2" borderId="1" xfId="0" applyFont="1" applyFill="1" applyBorder="1" applyAlignment="1">
      <alignment horizontal="center" vertical="center" wrapText="1"/>
    </xf>
    <xf numFmtId="0" fontId="33" fillId="15" borderId="0" xfId="29" applyFont="1" applyFill="1" applyAlignment="1">
      <alignment horizontal="center" vertical="center"/>
    </xf>
    <xf numFmtId="0" fontId="33" fillId="19" borderId="0" xfId="29" applyFont="1" applyFill="1" applyAlignment="1">
      <alignment horizontal="center" vertical="center"/>
    </xf>
    <xf numFmtId="0" fontId="10" fillId="2" borderId="0" xfId="0" applyFont="1" applyFill="1" applyAlignment="1">
      <alignment horizontal="center" vertical="top" wrapText="1"/>
    </xf>
    <xf numFmtId="0" fontId="0" fillId="0" borderId="0" xfId="0"/>
    <xf numFmtId="0" fontId="11" fillId="2" borderId="0" xfId="0" applyFont="1" applyFill="1" applyAlignment="1">
      <alignment horizontal="left" vertical="top" wrapText="1"/>
    </xf>
    <xf numFmtId="0" fontId="11" fillId="2" borderId="0" xfId="0" applyFont="1" applyFill="1" applyAlignment="1">
      <alignment horizontal="right" vertical="top" wrapText="1"/>
    </xf>
    <xf numFmtId="4" fontId="11" fillId="2" borderId="0" xfId="0" applyNumberFormat="1" applyFont="1" applyFill="1" applyAlignment="1">
      <alignment horizontal="right" vertical="top" wrapText="1"/>
    </xf>
    <xf numFmtId="0" fontId="0" fillId="0" borderId="0" xfId="0" applyAlignment="1">
      <alignment vertical="center"/>
    </xf>
    <xf numFmtId="0" fontId="7" fillId="2" borderId="13" xfId="29" applyFont="1" applyFill="1" applyBorder="1" applyAlignment="1">
      <alignment horizontal="center" vertical="center" wrapText="1"/>
    </xf>
    <xf numFmtId="0" fontId="7" fillId="2" borderId="0" xfId="29" applyFont="1" applyFill="1" applyAlignment="1">
      <alignment horizontal="left" vertical="center" wrapText="1"/>
    </xf>
    <xf numFmtId="0" fontId="19" fillId="2" borderId="0" xfId="29" applyFont="1" applyFill="1" applyAlignment="1">
      <alignment horizontal="left" vertical="center" wrapText="1"/>
    </xf>
    <xf numFmtId="0" fontId="11" fillId="2" borderId="0" xfId="29" applyFont="1" applyFill="1" applyAlignment="1">
      <alignment horizontal="left" vertical="center" wrapText="1"/>
    </xf>
    <xf numFmtId="10" fontId="19" fillId="2" borderId="0" xfId="29" applyNumberFormat="1" applyFont="1" applyFill="1" applyAlignment="1">
      <alignment horizontal="left" vertical="center" wrapText="1"/>
    </xf>
    <xf numFmtId="0" fontId="34" fillId="2" borderId="0" xfId="29" applyFont="1" applyFill="1" applyAlignment="1">
      <alignment horizontal="left" vertical="center" wrapText="1"/>
    </xf>
    <xf numFmtId="0" fontId="10" fillId="2" borderId="0" xfId="0" applyFont="1" applyFill="1" applyAlignment="1">
      <alignment horizontal="center" vertical="center" wrapText="1"/>
    </xf>
    <xf numFmtId="0" fontId="7"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0" fillId="2" borderId="0" xfId="0" applyFont="1" applyFill="1" applyAlignment="1">
      <alignment horizontal="right" vertical="top" wrapText="1"/>
    </xf>
    <xf numFmtId="0" fontId="10" fillId="17" borderId="1" xfId="0" applyFont="1" applyFill="1" applyBorder="1" applyAlignment="1">
      <alignment horizontal="left" vertical="top" wrapText="1"/>
    </xf>
    <xf numFmtId="0" fontId="10" fillId="1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7" fillId="2" borderId="13" xfId="0" applyFont="1" applyFill="1" applyBorder="1" applyAlignment="1">
      <alignment horizontal="center" wrapText="1"/>
    </xf>
    <xf numFmtId="0" fontId="7" fillId="2" borderId="0" xfId="0" applyFont="1" applyFill="1" applyAlignment="1">
      <alignment horizontal="left" vertical="top" wrapText="1"/>
    </xf>
    <xf numFmtId="10" fontId="11" fillId="2" borderId="0" xfId="0" applyNumberFormat="1" applyFont="1" applyFill="1" applyAlignment="1">
      <alignment horizontal="left" vertical="top" wrapText="1"/>
    </xf>
    <xf numFmtId="0" fontId="7" fillId="2" borderId="0" xfId="0" applyFont="1" applyFill="1" applyAlignment="1">
      <alignment horizontal="center" wrapText="1"/>
    </xf>
    <xf numFmtId="0" fontId="7" fillId="2" borderId="0" xfId="0" applyFont="1" applyFill="1" applyAlignment="1">
      <alignment horizontal="center" vertical="top" wrapText="1"/>
    </xf>
    <xf numFmtId="0" fontId="15" fillId="0" borderId="12" xfId="22" applyNumberFormat="1" applyFont="1" applyFill="1" applyBorder="1" applyAlignment="1" applyProtection="1">
      <alignment horizontal="left" wrapText="1"/>
    </xf>
    <xf numFmtId="0" fontId="19" fillId="0" borderId="10" xfId="23" applyFont="1" applyBorder="1" applyAlignment="1" applyProtection="1">
      <alignment horizontal="left" vertical="top"/>
    </xf>
    <xf numFmtId="0" fontId="19" fillId="0" borderId="11" xfId="23" applyFont="1" applyBorder="1" applyAlignment="1" applyProtection="1">
      <alignment horizontal="left" vertical="top"/>
    </xf>
    <xf numFmtId="0" fontId="19" fillId="0" borderId="0" xfId="23" applyFont="1" applyBorder="1" applyAlignment="1" applyProtection="1">
      <alignment horizontal="left" vertical="top"/>
    </xf>
    <xf numFmtId="0" fontId="13" fillId="0" borderId="3" xfId="7" applyFont="1" applyFill="1" applyBorder="1" applyAlignment="1" applyProtection="1">
      <alignment horizontal="left" vertical="top" wrapText="1"/>
    </xf>
    <xf numFmtId="0" fontId="13" fillId="0" borderId="5" xfId="7"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wrapText="1"/>
    </xf>
    <xf numFmtId="49" fontId="13" fillId="0" borderId="4" xfId="7" applyNumberFormat="1" applyFont="1" applyFill="1" applyBorder="1" applyAlignment="1" applyProtection="1">
      <alignment horizontal="left" vertical="top" wrapText="1"/>
    </xf>
    <xf numFmtId="49" fontId="13" fillId="0" borderId="5" xfId="7" applyNumberFormat="1" applyFont="1" applyFill="1" applyBorder="1" applyAlignment="1" applyProtection="1">
      <alignment horizontal="left" vertical="top" wrapText="1"/>
    </xf>
    <xf numFmtId="164" fontId="15" fillId="3" borderId="3" xfId="22" applyFont="1" applyFill="1" applyBorder="1" applyAlignment="1" applyProtection="1">
      <alignment horizontal="left"/>
      <protection locked="0"/>
    </xf>
    <xf numFmtId="164" fontId="15" fillId="3" borderId="4" xfId="22" applyFont="1" applyFill="1" applyBorder="1" applyAlignment="1" applyProtection="1">
      <alignment horizontal="left"/>
      <protection locked="0"/>
    </xf>
    <xf numFmtId="164" fontId="15" fillId="3" borderId="5" xfId="22" applyFont="1" applyFill="1" applyBorder="1" applyAlignment="1" applyProtection="1">
      <alignment horizontal="left"/>
      <protection locked="0"/>
    </xf>
    <xf numFmtId="0" fontId="13" fillId="0" borderId="3" xfId="7" applyFont="1" applyFill="1" applyBorder="1" applyAlignment="1" applyProtection="1">
      <alignment horizontal="center" vertical="top" wrapText="1"/>
    </xf>
    <xf numFmtId="0" fontId="13" fillId="0" borderId="5" xfId="7" applyFont="1" applyFill="1" applyBorder="1" applyAlignment="1" applyProtection="1">
      <alignment horizontal="center" vertical="top" wrapText="1"/>
    </xf>
    <xf numFmtId="0" fontId="15" fillId="0" borderId="2" xfId="7" applyFont="1" applyFill="1" applyBorder="1" applyAlignment="1" applyProtection="1">
      <alignment horizontal="left" wrapText="1"/>
    </xf>
    <xf numFmtId="10" fontId="15" fillId="3" borderId="2" xfId="7" applyNumberFormat="1" applyFont="1" applyFill="1" applyBorder="1" applyAlignment="1" applyProtection="1">
      <alignment horizontal="center"/>
      <protection locked="0"/>
    </xf>
    <xf numFmtId="0" fontId="15" fillId="0" borderId="2" xfId="7" applyFont="1" applyFill="1" applyBorder="1" applyAlignment="1" applyProtection="1">
      <alignment horizontal="left"/>
    </xf>
    <xf numFmtId="0" fontId="18" fillId="0" borderId="2" xfId="7" applyFont="1" applyBorder="1" applyAlignment="1" applyProtection="1">
      <alignment horizontal="center" vertical="center"/>
    </xf>
    <xf numFmtId="4" fontId="18" fillId="0" borderId="2" xfId="7" applyNumberFormat="1" applyFont="1" applyFill="1" applyBorder="1" applyAlignment="1" applyProtection="1">
      <alignment horizontal="center" vertical="center" wrapText="1"/>
    </xf>
    <xf numFmtId="0" fontId="18" fillId="0" borderId="2" xfId="7" applyFont="1" applyFill="1" applyBorder="1" applyAlignment="1" applyProtection="1">
      <alignment horizontal="center" vertical="center"/>
    </xf>
    <xf numFmtId="0" fontId="19" fillId="0" borderId="2" xfId="7" applyFont="1" applyFill="1" applyBorder="1" applyAlignment="1" applyProtection="1">
      <alignment horizontal="center" vertical="center"/>
    </xf>
    <xf numFmtId="0" fontId="21" fillId="0" borderId="0" xfId="7" applyFont="1" applyAlignment="1" applyProtection="1">
      <alignment horizontal="center" vertical="top" wrapText="1"/>
    </xf>
    <xf numFmtId="0" fontId="13" fillId="0" borderId="2" xfId="7" applyFont="1" applyBorder="1" applyAlignment="1" applyProtection="1">
      <alignment horizontal="left" vertical="center" wrapText="1"/>
    </xf>
    <xf numFmtId="0" fontId="13" fillId="0" borderId="2" xfId="7" applyFont="1" applyBorder="1" applyAlignment="1" applyProtection="1">
      <alignment horizontal="left" vertical="center"/>
    </xf>
    <xf numFmtId="0" fontId="29" fillId="0" borderId="2" xfId="7" applyFont="1" applyBorder="1" applyAlignment="1" applyProtection="1">
      <alignment horizontal="center" vertical="center" wrapText="1"/>
    </xf>
    <xf numFmtId="0" fontId="30" fillId="0" borderId="0" xfId="7" applyFont="1" applyBorder="1" applyAlignment="1" applyProtection="1">
      <alignment horizontal="left" vertical="center" wrapText="1"/>
    </xf>
    <xf numFmtId="2" fontId="23" fillId="0" borderId="6" xfId="7" applyNumberFormat="1" applyFont="1" applyFill="1" applyBorder="1" applyAlignment="1" applyProtection="1">
      <alignment horizontal="center" vertical="center"/>
    </xf>
    <xf numFmtId="0" fontId="25" fillId="0" borderId="0" xfId="7" applyFont="1" applyAlignment="1" applyProtection="1">
      <alignment horizontal="left" vertical="center" indent="1"/>
    </xf>
    <xf numFmtId="0" fontId="13" fillId="0" borderId="0" xfId="7" applyFont="1" applyBorder="1" applyAlignment="1" applyProtection="1">
      <alignment horizontal="center" vertical="center"/>
    </xf>
    <xf numFmtId="0" fontId="26" fillId="0" borderId="0" xfId="25" applyFont="1" applyBorder="1" applyAlignment="1" applyProtection="1">
      <alignment horizontal="right" vertical="center"/>
    </xf>
    <xf numFmtId="0" fontId="27" fillId="0" borderId="0" xfId="25" applyFont="1" applyBorder="1" applyAlignment="1" applyProtection="1">
      <alignment horizontal="center"/>
    </xf>
    <xf numFmtId="0" fontId="26" fillId="0" borderId="0" xfId="25" quotePrefix="1" applyFont="1" applyBorder="1" applyAlignment="1" applyProtection="1">
      <alignment horizontal="left" vertical="center"/>
    </xf>
    <xf numFmtId="0" fontId="26" fillId="0" borderId="0" xfId="25" applyFont="1" applyBorder="1" applyAlignment="1" applyProtection="1">
      <alignment horizontal="left" vertical="center"/>
    </xf>
    <xf numFmtId="0" fontId="26" fillId="0" borderId="0" xfId="25" applyFont="1" applyBorder="1" applyAlignment="1" applyProtection="1">
      <alignment horizontal="center" vertical="top"/>
    </xf>
    <xf numFmtId="49" fontId="13" fillId="3" borderId="7" xfId="7" applyNumberFormat="1" applyFont="1" applyFill="1" applyBorder="1" applyAlignment="1" applyProtection="1">
      <alignment horizontal="left" vertical="top" wrapText="1"/>
      <protection locked="0"/>
    </xf>
    <xf numFmtId="49" fontId="13" fillId="3" borderId="8" xfId="7" applyNumberFormat="1" applyFont="1" applyFill="1" applyBorder="1" applyAlignment="1" applyProtection="1">
      <alignment horizontal="left" vertical="top" wrapText="1"/>
      <protection locked="0"/>
    </xf>
    <xf numFmtId="49" fontId="13" fillId="3" borderId="9" xfId="7" applyNumberFormat="1" applyFont="1" applyFill="1" applyBorder="1" applyAlignment="1" applyProtection="1">
      <alignment horizontal="left" vertical="top" wrapText="1"/>
      <protection locked="0"/>
    </xf>
    <xf numFmtId="167" fontId="13" fillId="0" borderId="4" xfId="7" applyNumberFormat="1" applyFont="1" applyFill="1" applyBorder="1" applyAlignment="1" applyProtection="1">
      <alignment horizontal="left"/>
    </xf>
    <xf numFmtId="0" fontId="19" fillId="0" borderId="0" xfId="7" applyFont="1" applyBorder="1" applyAlignment="1" applyProtection="1">
      <alignment horizontal="left" vertical="center"/>
    </xf>
    <xf numFmtId="0" fontId="18" fillId="0" borderId="0" xfId="7" applyFont="1" applyBorder="1" applyAlignment="1" applyProtection="1">
      <alignment horizontal="left" vertical="center"/>
    </xf>
    <xf numFmtId="167" fontId="13" fillId="0" borderId="0" xfId="7" applyNumberFormat="1" applyFont="1" applyFill="1" applyBorder="1" applyAlignment="1" applyProtection="1">
      <alignment horizontal="left"/>
    </xf>
    <xf numFmtId="0" fontId="13" fillId="0" borderId="6" xfId="7" applyFont="1" applyBorder="1" applyAlignment="1" applyProtection="1">
      <alignment horizontal="center" vertical="center"/>
    </xf>
    <xf numFmtId="49" fontId="13" fillId="0" borderId="0" xfId="7" applyNumberFormat="1" applyFont="1" applyFill="1" applyBorder="1" applyAlignment="1" applyProtection="1">
      <alignment horizontal="left"/>
      <protection locked="0"/>
    </xf>
    <xf numFmtId="0" fontId="7" fillId="2" borderId="1" xfId="0" applyFont="1" applyFill="1" applyBorder="1" applyAlignment="1">
      <alignment horizontal="right" vertical="top" wrapText="1"/>
    </xf>
    <xf numFmtId="0" fontId="7" fillId="2" borderId="1" xfId="0" applyFont="1" applyFill="1" applyBorder="1" applyAlignment="1">
      <alignment horizontal="center" vertical="top" wrapText="1"/>
    </xf>
    <xf numFmtId="0" fontId="40" fillId="9" borderId="0" xfId="31" applyFont="1" applyFill="1" applyAlignment="1">
      <alignment horizontal="center"/>
    </xf>
    <xf numFmtId="0" fontId="31" fillId="9" borderId="0" xfId="31" applyFont="1" applyFill="1" applyAlignment="1">
      <alignment horizontal="center" vertical="top"/>
    </xf>
    <xf numFmtId="0" fontId="19" fillId="9" borderId="10" xfId="31" applyFont="1" applyFill="1" applyBorder="1" applyAlignment="1">
      <alignment horizontal="left"/>
    </xf>
    <xf numFmtId="0" fontId="19" fillId="9" borderId="0" xfId="31" applyFont="1" applyFill="1" applyAlignment="1">
      <alignment horizontal="left"/>
    </xf>
    <xf numFmtId="174" fontId="19" fillId="11" borderId="15" xfId="33" applyNumberFormat="1" applyFont="1" applyFill="1" applyBorder="1" applyAlignment="1">
      <alignment horizontal="center" vertical="center" wrapText="1"/>
    </xf>
    <xf numFmtId="174" fontId="19" fillId="11" borderId="16" xfId="33" applyNumberFormat="1" applyFont="1" applyFill="1" applyBorder="1" applyAlignment="1">
      <alignment horizontal="center" vertical="center" wrapText="1"/>
    </xf>
    <xf numFmtId="174" fontId="19" fillId="12" borderId="15" xfId="31" applyNumberFormat="1" applyFont="1" applyFill="1" applyBorder="1" applyAlignment="1">
      <alignment horizontal="center" vertical="center" wrapText="1"/>
    </xf>
    <xf numFmtId="174" fontId="19" fillId="12" borderId="16" xfId="31" applyNumberFormat="1" applyFont="1" applyFill="1" applyBorder="1" applyAlignment="1">
      <alignment horizontal="center" vertical="center" wrapText="1"/>
    </xf>
    <xf numFmtId="174" fontId="19" fillId="13" borderId="15" xfId="33" applyNumberFormat="1" applyFont="1" applyFill="1" applyBorder="1" applyAlignment="1">
      <alignment horizontal="center" vertical="center" wrapText="1"/>
    </xf>
    <xf numFmtId="174" fontId="19" fillId="13" borderId="16" xfId="33" applyNumberFormat="1" applyFont="1" applyFill="1" applyBorder="1" applyAlignment="1">
      <alignment horizontal="center" vertical="center" wrapText="1"/>
    </xf>
    <xf numFmtId="171" fontId="19" fillId="12" borderId="17" xfId="33" applyFont="1" applyFill="1" applyBorder="1" applyAlignment="1">
      <alignment horizontal="center" vertical="center" wrapText="1"/>
    </xf>
    <xf numFmtId="171" fontId="19" fillId="12" borderId="15" xfId="33" applyFont="1" applyFill="1" applyBorder="1" applyAlignment="1">
      <alignment horizontal="center" vertical="center" wrapText="1"/>
    </xf>
    <xf numFmtId="49" fontId="39" fillId="14" borderId="18" xfId="16" applyNumberFormat="1" applyFont="1" applyFill="1" applyBorder="1" applyAlignment="1">
      <alignment horizontal="center" vertical="center" wrapText="1"/>
    </xf>
    <xf numFmtId="49" fontId="39" fillId="14" borderId="19" xfId="16" applyNumberFormat="1" applyFont="1" applyFill="1" applyBorder="1" applyAlignment="1">
      <alignment horizontal="center" vertical="center" wrapText="1"/>
    </xf>
    <xf numFmtId="174" fontId="19" fillId="11" borderId="20" xfId="33" applyNumberFormat="1" applyFont="1" applyFill="1" applyBorder="1" applyAlignment="1">
      <alignment horizontal="center" vertical="center" wrapText="1"/>
    </xf>
    <xf numFmtId="174" fontId="19" fillId="11" borderId="21" xfId="33" applyNumberFormat="1" applyFont="1" applyFill="1" applyBorder="1" applyAlignment="1">
      <alignment horizontal="center" vertical="center" wrapText="1"/>
    </xf>
    <xf numFmtId="172" fontId="19" fillId="12" borderId="17" xfId="31" applyNumberFormat="1" applyFont="1" applyFill="1" applyBorder="1" applyAlignment="1">
      <alignment horizontal="center" vertical="center"/>
    </xf>
    <xf numFmtId="172" fontId="19" fillId="12" borderId="18" xfId="31" applyNumberFormat="1" applyFont="1" applyFill="1" applyBorder="1" applyAlignment="1">
      <alignment horizontal="center" vertical="center"/>
    </xf>
    <xf numFmtId="174" fontId="46" fillId="12" borderId="15" xfId="36" applyNumberFormat="1" applyFill="1" applyBorder="1" applyAlignment="1">
      <alignment horizontal="center" vertical="center" wrapText="1"/>
    </xf>
    <xf numFmtId="174" fontId="44" fillId="12" borderId="16" xfId="31" applyNumberFormat="1" applyFont="1" applyFill="1" applyBorder="1" applyAlignment="1">
      <alignment horizontal="center" vertical="center" wrapText="1"/>
    </xf>
    <xf numFmtId="174" fontId="46" fillId="12" borderId="15" xfId="36" applyNumberFormat="1" applyFill="1" applyBorder="1" applyAlignment="1" applyProtection="1">
      <alignment horizontal="center" vertical="center" wrapText="1"/>
    </xf>
    <xf numFmtId="174" fontId="35" fillId="12" borderId="16" xfId="27" applyNumberFormat="1" applyFont="1" applyFill="1" applyBorder="1" applyAlignment="1" applyProtection="1">
      <alignment horizontal="center" vertical="center" wrapText="1"/>
    </xf>
    <xf numFmtId="174" fontId="35" fillId="12" borderId="15" xfId="27" applyNumberFormat="1" applyFont="1" applyFill="1" applyBorder="1" applyAlignment="1" applyProtection="1">
      <alignment horizontal="center" vertical="center" wrapText="1"/>
    </xf>
    <xf numFmtId="14" fontId="43" fillId="12" borderId="15" xfId="31" applyNumberFormat="1" applyFont="1" applyFill="1" applyBorder="1" applyAlignment="1">
      <alignment horizontal="center" wrapText="1"/>
    </xf>
    <xf numFmtId="14" fontId="43" fillId="12" borderId="16" xfId="31" applyNumberFormat="1" applyFont="1" applyFill="1" applyBorder="1" applyAlignment="1">
      <alignment horizontal="center" wrapText="1"/>
    </xf>
    <xf numFmtId="14" fontId="43" fillId="12" borderId="15" xfId="33" applyNumberFormat="1" applyFont="1" applyFill="1" applyBorder="1" applyAlignment="1">
      <alignment horizontal="center" vertical="center" wrapText="1"/>
    </xf>
    <xf numFmtId="14" fontId="43" fillId="12" borderId="16" xfId="33" applyNumberFormat="1" applyFont="1" applyFill="1" applyBorder="1" applyAlignment="1">
      <alignment horizontal="center" vertical="center" wrapText="1"/>
    </xf>
    <xf numFmtId="14" fontId="19" fillId="12" borderId="15" xfId="33" applyNumberFormat="1" applyFont="1" applyFill="1" applyBorder="1" applyAlignment="1">
      <alignment horizontal="center" vertical="center" wrapText="1"/>
    </xf>
    <xf numFmtId="14" fontId="19" fillId="12" borderId="16" xfId="33" applyNumberFormat="1" applyFont="1" applyFill="1" applyBorder="1" applyAlignment="1">
      <alignment horizontal="center" vertical="center" wrapText="1"/>
    </xf>
    <xf numFmtId="0" fontId="19" fillId="12" borderId="17" xfId="31" applyFont="1" applyFill="1" applyBorder="1" applyAlignment="1">
      <alignment horizontal="center" vertical="center"/>
    </xf>
    <xf numFmtId="0" fontId="19" fillId="12" borderId="18" xfId="31" applyFont="1" applyFill="1" applyBorder="1" applyAlignment="1">
      <alignment horizontal="center" vertical="center"/>
    </xf>
    <xf numFmtId="0" fontId="19" fillId="11" borderId="17" xfId="31" applyFont="1" applyFill="1" applyBorder="1" applyAlignment="1">
      <alignment horizontal="center" vertical="center"/>
    </xf>
    <xf numFmtId="0" fontId="19" fillId="11" borderId="18" xfId="31" applyFont="1" applyFill="1" applyBorder="1" applyAlignment="1">
      <alignment horizontal="center" vertical="center"/>
    </xf>
    <xf numFmtId="0" fontId="19" fillId="12" borderId="19" xfId="31" applyFont="1" applyFill="1" applyBorder="1" applyAlignment="1">
      <alignment horizontal="center" vertical="center"/>
    </xf>
    <xf numFmtId="0" fontId="11" fillId="2" borderId="0" xfId="0" applyFont="1" applyFill="1" applyAlignment="1">
      <alignment vertical="top" wrapText="1"/>
    </xf>
    <xf numFmtId="0" fontId="10" fillId="2" borderId="4" xfId="0" applyFont="1" applyFill="1" applyBorder="1" applyAlignment="1">
      <alignment horizontal="left" vertical="top" wrapText="1"/>
    </xf>
    <xf numFmtId="168" fontId="13" fillId="0" borderId="4" xfId="7" applyNumberFormat="1" applyFont="1" applyBorder="1" applyAlignment="1" applyProtection="1">
      <alignment horizontal="center" vertical="center"/>
    </xf>
  </cellXfs>
  <cellStyles count="37">
    <cellStyle name="Excel Built-in Normal 2" xfId="5"/>
    <cellStyle name="Hiperlink" xfId="36" builtinId="8"/>
    <cellStyle name="Hiperlink 2" xfId="27"/>
    <cellStyle name="Moeda 2" xfId="4"/>
    <cellStyle name="Moeda 2 2" xfId="10"/>
    <cellStyle name="Moeda 2 3" xfId="14"/>
    <cellStyle name="Moeda 2 3 2" xfId="20"/>
    <cellStyle name="Moeda 2 4" xfId="19"/>
    <cellStyle name="Moeda 2 5" xfId="35"/>
    <cellStyle name="Moeda 3" xfId="17"/>
    <cellStyle name="Moeda 4" xfId="16"/>
    <cellStyle name="Moeda 6" xfId="28"/>
    <cellStyle name="Moeda_Composicao BDI v2.1" xfId="22"/>
    <cellStyle name="Normal" xfId="0" builtinId="0"/>
    <cellStyle name="Normal 10" xfId="30"/>
    <cellStyle name="Normal 2" xfId="7"/>
    <cellStyle name="Normal 2 2" xfId="8"/>
    <cellStyle name="Normal 2 3" xfId="13"/>
    <cellStyle name="Normal 3" xfId="6"/>
    <cellStyle name="Normal 3 2" xfId="31"/>
    <cellStyle name="Normal 4" xfId="15"/>
    <cellStyle name="Normal 5" xfId="21"/>
    <cellStyle name="Normal 6" xfId="1"/>
    <cellStyle name="Normal 7" xfId="24"/>
    <cellStyle name="Normal 8" xfId="25"/>
    <cellStyle name="Normal 9" xfId="29"/>
    <cellStyle name="Normal_FICHA DE VERIFICAÇÃO PRELIMINAR - Plano R" xfId="23"/>
    <cellStyle name="Porcentagem 2" xfId="3"/>
    <cellStyle name="Porcentagem 2 2" xfId="9"/>
    <cellStyle name="Porcentagem 4" xfId="2"/>
    <cellStyle name="Separador de milhares 2" xfId="11"/>
    <cellStyle name="Separador de milhares 2 2" xfId="12"/>
    <cellStyle name="Separador de milhares_Rua dos Coroados" xfId="33"/>
    <cellStyle name="Separador de milhares_Rua dos Coroados 2 2" xfId="32"/>
    <cellStyle name="Vírgula 2" xfId="18"/>
    <cellStyle name="Vírgula 2 2" xfId="26"/>
    <cellStyle name="Vírgula 3" xfId="34"/>
  </cellStyles>
  <dxfs count="9">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3711223</xdr:colOff>
      <xdr:row>1</xdr:row>
      <xdr:rowOff>148168</xdr:rowOff>
    </xdr:from>
    <xdr:to>
      <xdr:col>5</xdr:col>
      <xdr:colOff>702029</xdr:colOff>
      <xdr:row>6</xdr:row>
      <xdr:rowOff>3753</xdr:rowOff>
    </xdr:to>
    <xdr:pic>
      <xdr:nvPicPr>
        <xdr:cNvPr id="2" name="Imagem 1"/>
        <xdr:cNvPicPr>
          <a:picLocks noChangeAspect="1"/>
        </xdr:cNvPicPr>
      </xdr:nvPicPr>
      <xdr:blipFill>
        <a:blip xmlns:r="http://schemas.openxmlformats.org/officeDocument/2006/relationships" r:embed="rId1"/>
        <a:stretch>
          <a:fillRect/>
        </a:stretch>
      </xdr:blipFill>
      <xdr:spPr>
        <a:xfrm>
          <a:off x="6134383" y="346288"/>
          <a:ext cx="3559246" cy="785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3711223</xdr:colOff>
      <xdr:row>1</xdr:row>
      <xdr:rowOff>148168</xdr:rowOff>
    </xdr:from>
    <xdr:to>
      <xdr:col>7</xdr:col>
      <xdr:colOff>702029</xdr:colOff>
      <xdr:row>6</xdr:row>
      <xdr:rowOff>3753</xdr:rowOff>
    </xdr:to>
    <xdr:pic>
      <xdr:nvPicPr>
        <xdr:cNvPr id="4" name="Imagem 3"/>
        <xdr:cNvPicPr>
          <a:picLocks noChangeAspect="1"/>
        </xdr:cNvPicPr>
      </xdr:nvPicPr>
      <xdr:blipFill>
        <a:blip xmlns:r="http://schemas.openxmlformats.org/officeDocument/2006/relationships" r:embed="rId1"/>
        <a:stretch>
          <a:fillRect/>
        </a:stretch>
      </xdr:blipFill>
      <xdr:spPr>
        <a:xfrm>
          <a:off x="6138334" y="331612"/>
          <a:ext cx="3563056" cy="772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4547306</xdr:colOff>
      <xdr:row>1</xdr:row>
      <xdr:rowOff>158751</xdr:rowOff>
    </xdr:from>
    <xdr:to>
      <xdr:col>6</xdr:col>
      <xdr:colOff>2257779</xdr:colOff>
      <xdr:row>6</xdr:row>
      <xdr:rowOff>7281</xdr:rowOff>
    </xdr:to>
    <xdr:pic>
      <xdr:nvPicPr>
        <xdr:cNvPr id="2" name="Imagem 1"/>
        <xdr:cNvPicPr>
          <a:picLocks noChangeAspect="1"/>
        </xdr:cNvPicPr>
      </xdr:nvPicPr>
      <xdr:blipFill>
        <a:blip xmlns:r="http://schemas.openxmlformats.org/officeDocument/2006/relationships" r:embed="rId1"/>
        <a:stretch>
          <a:fillRect/>
        </a:stretch>
      </xdr:blipFill>
      <xdr:spPr>
        <a:xfrm>
          <a:off x="5108223" y="359834"/>
          <a:ext cx="3563056" cy="801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416276</xdr:colOff>
      <xdr:row>1</xdr:row>
      <xdr:rowOff>35277</xdr:rowOff>
    </xdr:from>
    <xdr:to>
      <xdr:col>6</xdr:col>
      <xdr:colOff>714206</xdr:colOff>
      <xdr:row>1</xdr:row>
      <xdr:rowOff>954150</xdr:rowOff>
    </xdr:to>
    <xdr:pic>
      <xdr:nvPicPr>
        <xdr:cNvPr id="3" name="Imagem 2"/>
        <xdr:cNvPicPr>
          <a:picLocks noChangeAspect="1"/>
        </xdr:cNvPicPr>
      </xdr:nvPicPr>
      <xdr:blipFill>
        <a:blip xmlns:r="http://schemas.openxmlformats.org/officeDocument/2006/relationships" r:embed="rId1"/>
        <a:stretch>
          <a:fillRect/>
        </a:stretch>
      </xdr:blipFill>
      <xdr:spPr>
        <a:xfrm>
          <a:off x="4152193" y="225777"/>
          <a:ext cx="4139680" cy="918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314325</xdr:colOff>
          <xdr:row>0</xdr:row>
          <xdr:rowOff>28575</xdr:rowOff>
        </xdr:from>
        <xdr:to>
          <xdr:col>17</xdr:col>
          <xdr:colOff>647700</xdr:colOff>
          <xdr:row>1</xdr:row>
          <xdr:rowOff>171450</xdr:rowOff>
        </xdr:to>
        <xdr:pic>
          <xdr:nvPicPr>
            <xdr:cNvPr id="3" name="SigiloPic"/>
            <xdr:cNvPicPr>
              <a:picLocks noChangeArrowheads="1"/>
              <a:extLst>
                <a:ext uri="{84589F7E-364E-4C9E-8A38-B11213B215E9}">
                  <a14:cameraTool cellRange="[3]PO!$T$1:$T$2" spid="_x0000_s6678"/>
                </a:ext>
              </a:extLst>
            </xdr:cNvPicPr>
          </xdr:nvPicPr>
          <xdr:blipFill>
            <a:blip xmlns:r="http://schemas.openxmlformats.org/officeDocument/2006/relationships" r:embed="rId1"/>
            <a:srcRect/>
            <a:stretch>
              <a:fillRect/>
            </a:stretch>
          </xdr:blipFill>
          <xdr:spPr bwMode="auto">
            <a:xfrm>
              <a:off x="6172200" y="28575"/>
              <a:ext cx="104775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OR&#199;AMENTOS\PREFEITURA%20DE%20ENGENHEIRO%20COELHO\TRAVESSIA%20JARDIM%20MERCEDEZ\317%20-%20O%20-%202313%20-%2072%20-%20002_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gelfus\Marcos%20da%20Rocha%20Batista\Topografia\CORREGO%20ITAQUERA%20E%20ITAQUERUNA%20-%20QUEIROZ\TECLA-Planilha_cronograma_ALTER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RMINAL%2005/Desktop/planilha%20m/CALCULADORA%20B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row r="4">
          <cell r="O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G Resumo"/>
      <sheetName val="PLANILHA PREÇOS E QTES"/>
      <sheetName val="Cronograma"/>
      <sheetName val="Resumo de serviços"/>
      <sheetName val="Composição de serviços Teorico"/>
      <sheetName val="PREÇ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BDI (3)"/>
      <sheetName val="PO"/>
      <sheetName val="PLQ"/>
      <sheetName val="CFF"/>
    </sheetNames>
    <sheetDataSet>
      <sheetData sheetId="0" refreshError="1">
        <row r="38">
          <cell r="C38" t="str">
            <v>Sim</v>
          </cell>
        </row>
        <row r="55">
          <cell r="B55" t="str">
            <v>Engenheiro Civil</v>
          </cell>
        </row>
        <row r="56">
          <cell r="A56" t="str">
            <v>CREA/CAU:</v>
          </cell>
        </row>
        <row r="57">
          <cell r="A57" t="str">
            <v>ART/RRT:</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flavio@engetubo.com.br" TargetMode="External"/><Relationship Id="rId1" Type="http://schemas.openxmlformats.org/officeDocument/2006/relationships/hyperlink" Target="mailto:vendas@tuboseaduleas.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view="pageBreakPreview" zoomScaleNormal="100" zoomScaleSheetLayoutView="100" workbookViewId="0">
      <selection activeCell="B65" sqref="B65"/>
    </sheetView>
  </sheetViews>
  <sheetFormatPr defaultColWidth="9" defaultRowHeight="14.4" x14ac:dyDescent="0.25"/>
  <cols>
    <col min="1" max="1" width="7.296875" style="40" customWidth="1"/>
    <col min="2" max="2" width="60" style="40" bestFit="1" customWidth="1"/>
    <col min="3" max="3" width="7.59765625" style="40" bestFit="1" customWidth="1"/>
    <col min="4" max="4" width="9.09765625" style="40" customWidth="1"/>
    <col min="5" max="5" width="9.5" style="40" bestFit="1" customWidth="1"/>
    <col min="6" max="6" width="10.69921875" style="40" customWidth="1"/>
    <col min="7" max="7" width="12" style="40" customWidth="1"/>
    <col min="8" max="8" width="9" style="40"/>
    <col min="9" max="9" width="11.296875" style="40" customWidth="1"/>
    <col min="10" max="10" width="12.19921875" style="40" customWidth="1"/>
    <col min="11" max="16384" width="9" style="40"/>
  </cols>
  <sheetData>
    <row r="1" spans="1:10" ht="15.6" x14ac:dyDescent="0.25">
      <c r="A1" s="68" t="s">
        <v>350</v>
      </c>
      <c r="B1" s="166"/>
      <c r="C1" s="187"/>
      <c r="D1" s="187"/>
      <c r="E1" s="188" t="s">
        <v>23</v>
      </c>
      <c r="F1" s="188"/>
      <c r="G1" s="188" t="s">
        <v>24</v>
      </c>
      <c r="H1" s="188"/>
    </row>
    <row r="2" spans="1:10" ht="14.25" customHeight="1" x14ac:dyDescent="0.25">
      <c r="A2" s="68" t="s">
        <v>148</v>
      </c>
      <c r="B2" s="167"/>
      <c r="C2" s="189"/>
      <c r="D2" s="189"/>
      <c r="E2" s="190">
        <f>BDI!N27</f>
        <v>0.28820000000000001</v>
      </c>
      <c r="F2" s="188"/>
      <c r="G2" s="191" t="s">
        <v>25</v>
      </c>
      <c r="H2" s="191"/>
    </row>
    <row r="3" spans="1:10" ht="14.25" customHeight="1" x14ac:dyDescent="0.25">
      <c r="A3" s="68" t="s">
        <v>149</v>
      </c>
      <c r="B3" s="167"/>
      <c r="C3" s="167"/>
      <c r="D3" s="167"/>
      <c r="E3" s="167"/>
      <c r="F3" s="167"/>
      <c r="G3" s="191"/>
      <c r="H3" s="191"/>
    </row>
    <row r="4" spans="1:10" ht="15.6" x14ac:dyDescent="0.25">
      <c r="A4" s="68" t="s">
        <v>1372</v>
      </c>
      <c r="B4" s="167"/>
      <c r="C4" s="167"/>
      <c r="D4" s="167"/>
      <c r="E4" s="167"/>
      <c r="F4" s="167"/>
      <c r="G4" s="191"/>
      <c r="H4" s="191"/>
    </row>
    <row r="5" spans="1:10" ht="15.6" x14ac:dyDescent="0.25">
      <c r="A5" s="68" t="s">
        <v>1371</v>
      </c>
      <c r="B5" s="167"/>
      <c r="C5" s="167"/>
      <c r="D5" s="167"/>
      <c r="E5" s="167"/>
      <c r="F5" s="167"/>
      <c r="G5" s="191"/>
      <c r="H5" s="191"/>
    </row>
    <row r="6" spans="1:10" x14ac:dyDescent="0.25">
      <c r="A6" s="42"/>
      <c r="B6" s="167"/>
      <c r="C6" s="167"/>
      <c r="D6" s="167"/>
      <c r="E6" s="167"/>
      <c r="F6" s="167"/>
      <c r="G6" s="167"/>
      <c r="H6" s="167"/>
    </row>
    <row r="7" spans="1:10" ht="15" customHeight="1" x14ac:dyDescent="0.25">
      <c r="A7" s="186" t="s">
        <v>26</v>
      </c>
      <c r="B7" s="186"/>
      <c r="C7" s="186"/>
      <c r="D7" s="186"/>
      <c r="E7" s="186"/>
      <c r="F7" s="186"/>
      <c r="G7" s="186"/>
      <c r="H7" s="167"/>
    </row>
    <row r="8" spans="1:10" s="43" customFormat="1" ht="41.4" x14ac:dyDescent="0.25">
      <c r="A8" s="177" t="s">
        <v>0</v>
      </c>
      <c r="B8" s="177" t="s">
        <v>1</v>
      </c>
      <c r="C8" s="177" t="s">
        <v>2</v>
      </c>
      <c r="D8" s="177" t="s">
        <v>3</v>
      </c>
      <c r="E8" s="177" t="s">
        <v>84</v>
      </c>
      <c r="F8" s="177" t="s">
        <v>85</v>
      </c>
      <c r="G8" s="177" t="s">
        <v>86</v>
      </c>
      <c r="H8" s="177" t="s">
        <v>96</v>
      </c>
      <c r="I8" s="177" t="s">
        <v>1988</v>
      </c>
      <c r="J8" s="173" t="s">
        <v>1989</v>
      </c>
    </row>
    <row r="9" spans="1:10" s="43" customFormat="1" ht="52.8" x14ac:dyDescent="0.25">
      <c r="A9" s="171" t="s">
        <v>141</v>
      </c>
      <c r="B9" s="171" t="s">
        <v>190</v>
      </c>
      <c r="C9" s="51" t="s">
        <v>13</v>
      </c>
      <c r="D9" s="52">
        <v>2735.85</v>
      </c>
      <c r="E9" s="53">
        <v>58.7</v>
      </c>
      <c r="F9" s="53">
        <v>75.62</v>
      </c>
      <c r="G9" s="53">
        <v>206884.98</v>
      </c>
      <c r="H9" s="45">
        <v>0.28315635529058919</v>
      </c>
      <c r="I9" s="174">
        <f>H9</f>
        <v>0.28315635529058919</v>
      </c>
      <c r="J9" s="176" t="s">
        <v>1985</v>
      </c>
    </row>
    <row r="10" spans="1:10" s="43" customFormat="1" ht="26.4" x14ac:dyDescent="0.25">
      <c r="A10" s="171" t="s">
        <v>324</v>
      </c>
      <c r="B10" s="171" t="s">
        <v>384</v>
      </c>
      <c r="C10" s="51" t="s">
        <v>19</v>
      </c>
      <c r="D10" s="52">
        <v>14</v>
      </c>
      <c r="E10" s="53">
        <v>6420.27</v>
      </c>
      <c r="F10" s="53">
        <v>8270.59</v>
      </c>
      <c r="G10" s="53">
        <v>115788.26</v>
      </c>
      <c r="H10" s="45">
        <v>0.1584754083502781</v>
      </c>
      <c r="I10" s="175">
        <f>I9+H10</f>
        <v>0.44163176364086731</v>
      </c>
      <c r="J10" s="176" t="s">
        <v>1985</v>
      </c>
    </row>
    <row r="11" spans="1:10" s="43" customFormat="1" ht="13.2" x14ac:dyDescent="0.25">
      <c r="A11" s="171" t="s">
        <v>136</v>
      </c>
      <c r="B11" s="171" t="s">
        <v>177</v>
      </c>
      <c r="C11" s="51" t="s">
        <v>6</v>
      </c>
      <c r="D11" s="52">
        <v>100</v>
      </c>
      <c r="E11" s="53">
        <v>540.92999999999995</v>
      </c>
      <c r="F11" s="53">
        <v>696.83</v>
      </c>
      <c r="G11" s="53">
        <v>69683</v>
      </c>
      <c r="H11" s="45">
        <v>9.5372725007461287E-2</v>
      </c>
      <c r="I11" s="175">
        <f t="shared" ref="I11:I62" si="0">I10+H11</f>
        <v>0.53700448864832862</v>
      </c>
      <c r="J11" s="178" t="s">
        <v>1986</v>
      </c>
    </row>
    <row r="12" spans="1:10" s="43" customFormat="1" ht="39.6" x14ac:dyDescent="0.25">
      <c r="A12" s="171" t="s">
        <v>259</v>
      </c>
      <c r="B12" s="171" t="s">
        <v>298</v>
      </c>
      <c r="C12" s="51" t="s">
        <v>13</v>
      </c>
      <c r="D12" s="52">
        <v>31.8</v>
      </c>
      <c r="E12" s="53">
        <v>1260.3900000000001</v>
      </c>
      <c r="F12" s="53">
        <v>1623.63</v>
      </c>
      <c r="G12" s="53">
        <v>51631.43</v>
      </c>
      <c r="H12" s="45">
        <v>7.0666162121779869E-2</v>
      </c>
      <c r="I12" s="175">
        <f t="shared" si="0"/>
        <v>0.60767065077010851</v>
      </c>
      <c r="J12" s="178" t="s">
        <v>1986</v>
      </c>
    </row>
    <row r="13" spans="1:10" s="43" customFormat="1" ht="25.5" customHeight="1" x14ac:dyDescent="0.25">
      <c r="A13" s="171" t="s">
        <v>338</v>
      </c>
      <c r="B13" s="171" t="s">
        <v>299</v>
      </c>
      <c r="C13" s="51" t="s">
        <v>13</v>
      </c>
      <c r="D13" s="52">
        <v>23.85</v>
      </c>
      <c r="E13" s="53">
        <v>1458.79</v>
      </c>
      <c r="F13" s="53">
        <v>1879.21</v>
      </c>
      <c r="G13" s="53">
        <v>44819.16</v>
      </c>
      <c r="H13" s="45">
        <v>6.1342442514607701E-2</v>
      </c>
      <c r="I13" s="175">
        <f t="shared" si="0"/>
        <v>0.66901309328471625</v>
      </c>
      <c r="J13" s="178" t="s">
        <v>1986</v>
      </c>
    </row>
    <row r="14" spans="1:10" s="43" customFormat="1" ht="25.5" customHeight="1" x14ac:dyDescent="0.25">
      <c r="A14" s="171" t="s">
        <v>343</v>
      </c>
      <c r="B14" s="171" t="s">
        <v>306</v>
      </c>
      <c r="C14" s="51" t="s">
        <v>13</v>
      </c>
      <c r="D14" s="52">
        <v>28.84</v>
      </c>
      <c r="E14" s="53">
        <v>544.39</v>
      </c>
      <c r="F14" s="53">
        <v>701.28</v>
      </c>
      <c r="G14" s="53">
        <v>20224.919999999998</v>
      </c>
      <c r="H14" s="45">
        <v>2.7681152267524416E-2</v>
      </c>
      <c r="I14" s="175">
        <f t="shared" si="0"/>
        <v>0.69669424555224069</v>
      </c>
      <c r="J14" s="178" t="s">
        <v>1986</v>
      </c>
    </row>
    <row r="15" spans="1:10" s="43" customFormat="1" ht="52.8" x14ac:dyDescent="0.25">
      <c r="A15" s="171" t="s">
        <v>250</v>
      </c>
      <c r="B15" s="171" t="s">
        <v>252</v>
      </c>
      <c r="C15" s="51" t="s">
        <v>13</v>
      </c>
      <c r="D15" s="52">
        <v>119.25</v>
      </c>
      <c r="E15" s="53">
        <v>121.74</v>
      </c>
      <c r="F15" s="53">
        <v>156.83000000000001</v>
      </c>
      <c r="G15" s="53">
        <v>18701.98</v>
      </c>
      <c r="H15" s="45">
        <v>2.5596756678602253E-2</v>
      </c>
      <c r="I15" s="175">
        <f t="shared" si="0"/>
        <v>0.72229100223084297</v>
      </c>
      <c r="J15" s="178" t="s">
        <v>1986</v>
      </c>
    </row>
    <row r="16" spans="1:10" s="43" customFormat="1" ht="25.5" customHeight="1" x14ac:dyDescent="0.25">
      <c r="A16" s="171" t="s">
        <v>143</v>
      </c>
      <c r="B16" s="171" t="s">
        <v>194</v>
      </c>
      <c r="C16" s="51" t="s">
        <v>13</v>
      </c>
      <c r="D16" s="52">
        <v>2735.85</v>
      </c>
      <c r="E16" s="53">
        <v>5.23</v>
      </c>
      <c r="F16" s="53">
        <v>6.74</v>
      </c>
      <c r="G16" s="53">
        <v>18439.63</v>
      </c>
      <c r="H16" s="45">
        <v>2.5237687258432232E-2</v>
      </c>
      <c r="I16" s="175">
        <f t="shared" si="0"/>
        <v>0.7475286894892752</v>
      </c>
      <c r="J16" s="178" t="s">
        <v>1986</v>
      </c>
    </row>
    <row r="17" spans="1:10" s="43" customFormat="1" ht="26.4" x14ac:dyDescent="0.25">
      <c r="A17" s="171" t="s">
        <v>341</v>
      </c>
      <c r="B17" s="171" t="s">
        <v>261</v>
      </c>
      <c r="C17" s="51" t="s">
        <v>163</v>
      </c>
      <c r="D17" s="52">
        <v>10494</v>
      </c>
      <c r="E17" s="53">
        <v>1.28</v>
      </c>
      <c r="F17" s="53">
        <v>1.65</v>
      </c>
      <c r="G17" s="53">
        <v>17315.099999999999</v>
      </c>
      <c r="H17" s="45">
        <v>2.3698581731221285E-2</v>
      </c>
      <c r="I17" s="175">
        <f t="shared" si="0"/>
        <v>0.7712272712204965</v>
      </c>
      <c r="J17" s="178" t="s">
        <v>1986</v>
      </c>
    </row>
    <row r="18" spans="1:10" s="43" customFormat="1" ht="25.5" customHeight="1" x14ac:dyDescent="0.25">
      <c r="A18" s="171" t="s">
        <v>253</v>
      </c>
      <c r="B18" s="171" t="s">
        <v>122</v>
      </c>
      <c r="C18" s="51" t="s">
        <v>6</v>
      </c>
      <c r="D18" s="52">
        <v>795</v>
      </c>
      <c r="E18" s="53">
        <v>14.38</v>
      </c>
      <c r="F18" s="53">
        <v>18.52</v>
      </c>
      <c r="G18" s="53">
        <v>14723.4</v>
      </c>
      <c r="H18" s="45">
        <v>2.0151411095602305E-2</v>
      </c>
      <c r="I18" s="175">
        <f t="shared" si="0"/>
        <v>0.79137868231609876</v>
      </c>
      <c r="J18" s="178" t="s">
        <v>1986</v>
      </c>
    </row>
    <row r="19" spans="1:10" s="43" customFormat="1" ht="26.4" x14ac:dyDescent="0.25">
      <c r="A19" s="171" t="s">
        <v>264</v>
      </c>
      <c r="B19" s="171" t="s">
        <v>305</v>
      </c>
      <c r="C19" s="51" t="s">
        <v>28</v>
      </c>
      <c r="D19" s="52">
        <v>609.76</v>
      </c>
      <c r="E19" s="53">
        <v>15.82</v>
      </c>
      <c r="F19" s="53">
        <v>20.38</v>
      </c>
      <c r="G19" s="53">
        <v>12426.91</v>
      </c>
      <c r="H19" s="45">
        <v>1.7008284231770598E-2</v>
      </c>
      <c r="I19" s="175">
        <f t="shared" si="0"/>
        <v>0.80838696654786935</v>
      </c>
      <c r="J19" s="179" t="s">
        <v>1987</v>
      </c>
    </row>
    <row r="20" spans="1:10" s="43" customFormat="1" ht="25.5" customHeight="1" x14ac:dyDescent="0.25">
      <c r="A20" s="171" t="s">
        <v>137</v>
      </c>
      <c r="B20" s="171" t="s">
        <v>179</v>
      </c>
      <c r="C20" s="51" t="s">
        <v>126</v>
      </c>
      <c r="D20" s="52">
        <v>112</v>
      </c>
      <c r="E20" s="53">
        <v>71.89</v>
      </c>
      <c r="F20" s="53">
        <v>92.61</v>
      </c>
      <c r="G20" s="53">
        <v>10372.32</v>
      </c>
      <c r="H20" s="45">
        <v>1.4196237576588132E-2</v>
      </c>
      <c r="I20" s="175">
        <f t="shared" si="0"/>
        <v>0.82258320412445751</v>
      </c>
      <c r="J20" s="179" t="s">
        <v>1987</v>
      </c>
    </row>
    <row r="21" spans="1:10" s="43" customFormat="1" ht="25.5" customHeight="1" x14ac:dyDescent="0.25">
      <c r="A21" s="171" t="s">
        <v>348</v>
      </c>
      <c r="B21" s="171" t="s">
        <v>22</v>
      </c>
      <c r="C21" s="51" t="s">
        <v>6</v>
      </c>
      <c r="D21" s="52">
        <v>603.5</v>
      </c>
      <c r="E21" s="53">
        <v>11.8</v>
      </c>
      <c r="F21" s="53">
        <v>15.2</v>
      </c>
      <c r="G21" s="53">
        <v>9173.2000000000007</v>
      </c>
      <c r="H21" s="45">
        <v>1.2555043282270336E-2</v>
      </c>
      <c r="I21" s="175">
        <f t="shared" si="0"/>
        <v>0.83513824740672782</v>
      </c>
      <c r="J21" s="179" t="s">
        <v>1987</v>
      </c>
    </row>
    <row r="22" spans="1:10" s="43" customFormat="1" ht="13.2" x14ac:dyDescent="0.25">
      <c r="A22" s="171" t="s">
        <v>227</v>
      </c>
      <c r="B22" s="171" t="s">
        <v>213</v>
      </c>
      <c r="C22" s="51" t="s">
        <v>13</v>
      </c>
      <c r="D22" s="52">
        <v>12</v>
      </c>
      <c r="E22" s="53">
        <v>532.72</v>
      </c>
      <c r="F22" s="53">
        <v>686.25</v>
      </c>
      <c r="G22" s="53">
        <v>8235</v>
      </c>
      <c r="H22" s="45">
        <v>1.1270961216314506E-2</v>
      </c>
      <c r="I22" s="175">
        <f t="shared" si="0"/>
        <v>0.84640920862304236</v>
      </c>
      <c r="J22" s="179" t="s">
        <v>1987</v>
      </c>
    </row>
    <row r="23" spans="1:10" s="43" customFormat="1" ht="25.5" customHeight="1" x14ac:dyDescent="0.25">
      <c r="A23" s="171" t="s">
        <v>127</v>
      </c>
      <c r="B23" s="171" t="s">
        <v>155</v>
      </c>
      <c r="C23" s="51" t="s">
        <v>6</v>
      </c>
      <c r="D23" s="52">
        <v>6</v>
      </c>
      <c r="E23" s="53">
        <v>972.67</v>
      </c>
      <c r="F23" s="53">
        <v>1252.99</v>
      </c>
      <c r="G23" s="53">
        <v>7517.94</v>
      </c>
      <c r="H23" s="45">
        <v>1.028954586115112E-2</v>
      </c>
      <c r="I23" s="175">
        <f t="shared" si="0"/>
        <v>0.85669875448419353</v>
      </c>
      <c r="J23" s="179" t="s">
        <v>1987</v>
      </c>
    </row>
    <row r="24" spans="1:10" s="43" customFormat="1" ht="25.5" customHeight="1" x14ac:dyDescent="0.25">
      <c r="A24" s="171" t="s">
        <v>119</v>
      </c>
      <c r="B24" s="171" t="s">
        <v>198</v>
      </c>
      <c r="C24" s="51" t="s">
        <v>13</v>
      </c>
      <c r="D24" s="52">
        <v>65.209999999999994</v>
      </c>
      <c r="E24" s="53">
        <v>86.61</v>
      </c>
      <c r="F24" s="53">
        <v>111.57</v>
      </c>
      <c r="G24" s="53">
        <v>7275.48</v>
      </c>
      <c r="H24" s="45">
        <v>9.9576991997658588E-3</v>
      </c>
      <c r="I24" s="175">
        <f t="shared" si="0"/>
        <v>0.86665645368395938</v>
      </c>
      <c r="J24" s="179" t="s">
        <v>1987</v>
      </c>
    </row>
    <row r="25" spans="1:10" s="43" customFormat="1" ht="25.5" customHeight="1" x14ac:dyDescent="0.25">
      <c r="A25" s="171" t="s">
        <v>139</v>
      </c>
      <c r="B25" s="171" t="s">
        <v>185</v>
      </c>
      <c r="C25" s="51" t="s">
        <v>13</v>
      </c>
      <c r="D25" s="52">
        <v>120.12</v>
      </c>
      <c r="E25" s="53">
        <v>40.950000000000003</v>
      </c>
      <c r="F25" s="53">
        <v>52.75</v>
      </c>
      <c r="G25" s="53">
        <v>6336.33</v>
      </c>
      <c r="H25" s="45">
        <v>8.6723169014899931E-3</v>
      </c>
      <c r="I25" s="175">
        <f t="shared" si="0"/>
        <v>0.87532877058544933</v>
      </c>
      <c r="J25" s="179" t="s">
        <v>1987</v>
      </c>
    </row>
    <row r="26" spans="1:10" s="43" customFormat="1" ht="52.8" x14ac:dyDescent="0.25">
      <c r="A26" s="171" t="s">
        <v>244</v>
      </c>
      <c r="B26" s="171" t="s">
        <v>246</v>
      </c>
      <c r="C26" s="51" t="s">
        <v>19</v>
      </c>
      <c r="D26" s="52">
        <v>86</v>
      </c>
      <c r="E26" s="53">
        <v>51.51</v>
      </c>
      <c r="F26" s="53">
        <v>66.36</v>
      </c>
      <c r="G26" s="53">
        <v>5706.96</v>
      </c>
      <c r="H26" s="45">
        <v>7.8109198327939557E-3</v>
      </c>
      <c r="I26" s="175">
        <f t="shared" si="0"/>
        <v>0.88313969041824325</v>
      </c>
      <c r="J26" s="179" t="s">
        <v>1987</v>
      </c>
    </row>
    <row r="27" spans="1:10" s="43" customFormat="1" ht="25.5" customHeight="1" x14ac:dyDescent="0.25">
      <c r="A27" s="171" t="s">
        <v>5</v>
      </c>
      <c r="B27" s="171" t="s">
        <v>152</v>
      </c>
      <c r="C27" s="51" t="s">
        <v>6</v>
      </c>
      <c r="D27" s="52">
        <v>4.8</v>
      </c>
      <c r="E27" s="53">
        <v>881.58</v>
      </c>
      <c r="F27" s="53">
        <v>1135.6500000000001</v>
      </c>
      <c r="G27" s="53">
        <v>5451.12</v>
      </c>
      <c r="H27" s="45">
        <v>7.460760425680185E-3</v>
      </c>
      <c r="I27" s="175">
        <f t="shared" si="0"/>
        <v>0.89060045084392347</v>
      </c>
      <c r="J27" s="179" t="s">
        <v>1987</v>
      </c>
    </row>
    <row r="28" spans="1:10" s="43" customFormat="1" ht="13.2" x14ac:dyDescent="0.25">
      <c r="A28" s="171" t="s">
        <v>142</v>
      </c>
      <c r="B28" s="171" t="s">
        <v>192</v>
      </c>
      <c r="C28" s="51" t="s">
        <v>13</v>
      </c>
      <c r="D28" s="52">
        <v>2735.85</v>
      </c>
      <c r="E28" s="53">
        <v>1.36</v>
      </c>
      <c r="F28" s="53">
        <v>1.75</v>
      </c>
      <c r="G28" s="53">
        <v>4787.74</v>
      </c>
      <c r="H28" s="45">
        <v>6.55281503992685E-3</v>
      </c>
      <c r="I28" s="175">
        <f t="shared" si="0"/>
        <v>0.89715326588385036</v>
      </c>
      <c r="J28" s="179" t="s">
        <v>1987</v>
      </c>
    </row>
    <row r="29" spans="1:10" s="43" customFormat="1" ht="25.5" customHeight="1" x14ac:dyDescent="0.25">
      <c r="A29" s="171" t="s">
        <v>349</v>
      </c>
      <c r="B29" s="171" t="s">
        <v>266</v>
      </c>
      <c r="C29" s="51" t="s">
        <v>19</v>
      </c>
      <c r="D29" s="52">
        <v>6</v>
      </c>
      <c r="E29" s="53">
        <v>616.46</v>
      </c>
      <c r="F29" s="53">
        <v>794.12</v>
      </c>
      <c r="G29" s="53">
        <v>4764.72</v>
      </c>
      <c r="H29" s="45">
        <v>6.5213083578139703E-3</v>
      </c>
      <c r="I29" s="175">
        <f t="shared" si="0"/>
        <v>0.90367457424166431</v>
      </c>
      <c r="J29" s="179" t="s">
        <v>1987</v>
      </c>
    </row>
    <row r="30" spans="1:10" s="43" customFormat="1" ht="25.5" customHeight="1" x14ac:dyDescent="0.25">
      <c r="A30" s="171" t="s">
        <v>239</v>
      </c>
      <c r="B30" s="171" t="s">
        <v>235</v>
      </c>
      <c r="C30" s="51" t="s">
        <v>13</v>
      </c>
      <c r="D30" s="52">
        <v>1.01</v>
      </c>
      <c r="E30" s="53">
        <v>3652.03</v>
      </c>
      <c r="F30" s="53">
        <v>4704.55</v>
      </c>
      <c r="G30" s="53">
        <v>4751.6000000000004</v>
      </c>
      <c r="H30" s="45">
        <v>6.5033514651414697E-3</v>
      </c>
      <c r="I30" s="175">
        <f t="shared" si="0"/>
        <v>0.91017792570680578</v>
      </c>
      <c r="J30" s="179" t="s">
        <v>1987</v>
      </c>
    </row>
    <row r="31" spans="1:10" s="43" customFormat="1" ht="13.2" x14ac:dyDescent="0.25">
      <c r="A31" s="171" t="s">
        <v>345</v>
      </c>
      <c r="B31" s="171" t="s">
        <v>307</v>
      </c>
      <c r="C31" s="51" t="s">
        <v>19</v>
      </c>
      <c r="D31" s="52">
        <v>164.8</v>
      </c>
      <c r="E31" s="53">
        <v>19.420000000000002</v>
      </c>
      <c r="F31" s="53">
        <v>25.02</v>
      </c>
      <c r="G31" s="53">
        <v>4123.3</v>
      </c>
      <c r="H31" s="45">
        <v>5.6434188686374743E-3</v>
      </c>
      <c r="I31" s="175">
        <f t="shared" si="0"/>
        <v>0.91582134457544329</v>
      </c>
      <c r="J31" s="179" t="s">
        <v>1987</v>
      </c>
    </row>
    <row r="32" spans="1:10" s="43" customFormat="1" ht="13.2" x14ac:dyDescent="0.25">
      <c r="A32" s="171" t="s">
        <v>211</v>
      </c>
      <c r="B32" s="171" t="s">
        <v>213</v>
      </c>
      <c r="C32" s="51" t="s">
        <v>13</v>
      </c>
      <c r="D32" s="52">
        <v>5.84</v>
      </c>
      <c r="E32" s="53">
        <v>532.72</v>
      </c>
      <c r="F32" s="53">
        <v>686.25</v>
      </c>
      <c r="G32" s="53">
        <v>4007.7</v>
      </c>
      <c r="H32" s="45">
        <v>5.4852011252730587E-3</v>
      </c>
      <c r="I32" s="175">
        <f t="shared" si="0"/>
        <v>0.92130654570071635</v>
      </c>
      <c r="J32" s="179" t="s">
        <v>1987</v>
      </c>
    </row>
    <row r="33" spans="1:10" s="43" customFormat="1" ht="26.4" x14ac:dyDescent="0.25">
      <c r="A33" s="171" t="s">
        <v>131</v>
      </c>
      <c r="B33" s="171" t="s">
        <v>162</v>
      </c>
      <c r="C33" s="51" t="s">
        <v>163</v>
      </c>
      <c r="D33" s="52">
        <v>1092</v>
      </c>
      <c r="E33" s="53">
        <v>2.79</v>
      </c>
      <c r="F33" s="53">
        <v>3.59</v>
      </c>
      <c r="G33" s="53">
        <v>3920.28</v>
      </c>
      <c r="H33" s="45">
        <v>5.3655523785177206E-3</v>
      </c>
      <c r="I33" s="175">
        <f t="shared" si="0"/>
        <v>0.92667209807923412</v>
      </c>
      <c r="J33" s="179" t="s">
        <v>1987</v>
      </c>
    </row>
    <row r="34" spans="1:10" s="43" customFormat="1" ht="13.2" x14ac:dyDescent="0.25">
      <c r="A34" s="171" t="s">
        <v>133</v>
      </c>
      <c r="B34" s="171" t="s">
        <v>168</v>
      </c>
      <c r="C34" s="51" t="s">
        <v>6</v>
      </c>
      <c r="D34" s="52">
        <v>108</v>
      </c>
      <c r="E34" s="53">
        <v>25.68</v>
      </c>
      <c r="F34" s="53">
        <v>33.08</v>
      </c>
      <c r="G34" s="53">
        <v>3572.64</v>
      </c>
      <c r="H34" s="45">
        <v>4.8897494693204433E-3</v>
      </c>
      <c r="I34" s="175">
        <f t="shared" si="0"/>
        <v>0.93156184754855453</v>
      </c>
      <c r="J34" s="179" t="s">
        <v>1987</v>
      </c>
    </row>
    <row r="35" spans="1:10" s="43" customFormat="1" ht="39.6" x14ac:dyDescent="0.25">
      <c r="A35" s="171" t="s">
        <v>206</v>
      </c>
      <c r="B35" s="171" t="s">
        <v>208</v>
      </c>
      <c r="C35" s="51" t="s">
        <v>6</v>
      </c>
      <c r="D35" s="52">
        <v>12.82</v>
      </c>
      <c r="E35" s="53">
        <v>211.58</v>
      </c>
      <c r="F35" s="53">
        <v>272.56</v>
      </c>
      <c r="G35" s="53">
        <v>3494.22</v>
      </c>
      <c r="H35" s="45">
        <v>4.7824187129654489E-3</v>
      </c>
      <c r="I35" s="175">
        <f t="shared" si="0"/>
        <v>0.93634426626152001</v>
      </c>
      <c r="J35" s="179" t="s">
        <v>1987</v>
      </c>
    </row>
    <row r="36" spans="1:10" s="43" customFormat="1" ht="39.6" x14ac:dyDescent="0.25">
      <c r="A36" s="171" t="s">
        <v>263</v>
      </c>
      <c r="B36" s="171" t="s">
        <v>255</v>
      </c>
      <c r="C36" s="51" t="s">
        <v>13</v>
      </c>
      <c r="D36" s="52">
        <v>20.6</v>
      </c>
      <c r="E36" s="53">
        <v>125.34</v>
      </c>
      <c r="F36" s="53">
        <v>161.46</v>
      </c>
      <c r="G36" s="53">
        <v>3326.08</v>
      </c>
      <c r="H36" s="45">
        <v>4.5522912789750271E-3</v>
      </c>
      <c r="I36" s="175">
        <f t="shared" si="0"/>
        <v>0.94089655754049506</v>
      </c>
      <c r="J36" s="179" t="s">
        <v>1987</v>
      </c>
    </row>
    <row r="37" spans="1:10" s="43" customFormat="1" ht="13.2" x14ac:dyDescent="0.25">
      <c r="A37" s="171" t="s">
        <v>219</v>
      </c>
      <c r="B37" s="171" t="s">
        <v>221</v>
      </c>
      <c r="C37" s="51" t="s">
        <v>6</v>
      </c>
      <c r="D37" s="52">
        <v>18</v>
      </c>
      <c r="E37" s="53">
        <v>141.32</v>
      </c>
      <c r="F37" s="53">
        <v>182.05</v>
      </c>
      <c r="G37" s="53">
        <v>3276.9</v>
      </c>
      <c r="H37" s="45">
        <v>4.4849803047651493E-3</v>
      </c>
      <c r="I37" s="175">
        <f t="shared" si="0"/>
        <v>0.94538153784526024</v>
      </c>
      <c r="J37" s="179" t="s">
        <v>1987</v>
      </c>
    </row>
    <row r="38" spans="1:10" s="43" customFormat="1" ht="13.2" x14ac:dyDescent="0.25">
      <c r="A38" s="171" t="s">
        <v>224</v>
      </c>
      <c r="B38" s="171" t="s">
        <v>332</v>
      </c>
      <c r="C38" s="51" t="s">
        <v>28</v>
      </c>
      <c r="D38" s="52">
        <v>236.19</v>
      </c>
      <c r="E38" s="53">
        <v>10.24</v>
      </c>
      <c r="F38" s="53">
        <v>13.19</v>
      </c>
      <c r="G38" s="53">
        <v>3115.35</v>
      </c>
      <c r="H38" s="45">
        <v>4.2638723770789793E-3</v>
      </c>
      <c r="I38" s="175">
        <f t="shared" si="0"/>
        <v>0.94964541022233917</v>
      </c>
      <c r="J38" s="179" t="s">
        <v>1987</v>
      </c>
    </row>
    <row r="39" spans="1:10" s="43" customFormat="1" ht="39.6" x14ac:dyDescent="0.25">
      <c r="A39" s="171" t="s">
        <v>140</v>
      </c>
      <c r="B39" s="171" t="s">
        <v>187</v>
      </c>
      <c r="C39" s="51" t="s">
        <v>13</v>
      </c>
      <c r="D39" s="52">
        <v>155</v>
      </c>
      <c r="E39" s="53">
        <v>15.1</v>
      </c>
      <c r="F39" s="53">
        <v>19.45</v>
      </c>
      <c r="G39" s="53">
        <v>3014.75</v>
      </c>
      <c r="H39" s="45">
        <v>4.1261846177151375E-3</v>
      </c>
      <c r="I39" s="175">
        <f t="shared" si="0"/>
        <v>0.95377159484005436</v>
      </c>
      <c r="J39" s="179" t="s">
        <v>1987</v>
      </c>
    </row>
    <row r="40" spans="1:10" s="43" customFormat="1" ht="26.4" x14ac:dyDescent="0.25">
      <c r="A40" s="171" t="s">
        <v>256</v>
      </c>
      <c r="B40" s="171" t="s">
        <v>297</v>
      </c>
      <c r="C40" s="51" t="s">
        <v>6</v>
      </c>
      <c r="D40" s="52">
        <v>795</v>
      </c>
      <c r="E40" s="53">
        <v>2.89</v>
      </c>
      <c r="F40" s="53">
        <v>3.72</v>
      </c>
      <c r="G40" s="53">
        <v>2957.4</v>
      </c>
      <c r="H40" s="45">
        <v>4.047691645552947E-3</v>
      </c>
      <c r="I40" s="175">
        <f t="shared" si="0"/>
        <v>0.95781928648560732</v>
      </c>
      <c r="J40" s="179" t="s">
        <v>1987</v>
      </c>
    </row>
    <row r="41" spans="1:10" s="43" customFormat="1" ht="13.2" x14ac:dyDescent="0.25">
      <c r="A41" s="171" t="s">
        <v>135</v>
      </c>
      <c r="B41" s="171" t="s">
        <v>173</v>
      </c>
      <c r="C41" s="51" t="s">
        <v>174</v>
      </c>
      <c r="D41" s="52">
        <v>7</v>
      </c>
      <c r="E41" s="53">
        <v>305.64999999999998</v>
      </c>
      <c r="F41" s="53">
        <v>393.74</v>
      </c>
      <c r="G41" s="53">
        <v>2756.18</v>
      </c>
      <c r="H41" s="45">
        <v>3.7722887535132621E-3</v>
      </c>
      <c r="I41" s="175">
        <f t="shared" si="0"/>
        <v>0.96159157523912053</v>
      </c>
      <c r="J41" s="179" t="s">
        <v>1987</v>
      </c>
    </row>
    <row r="42" spans="1:10" s="43" customFormat="1" ht="26.4" x14ac:dyDescent="0.25">
      <c r="A42" s="171" t="s">
        <v>145</v>
      </c>
      <c r="B42" s="171" t="s">
        <v>162</v>
      </c>
      <c r="C42" s="51" t="s">
        <v>163</v>
      </c>
      <c r="D42" s="52">
        <v>715.31</v>
      </c>
      <c r="E42" s="53">
        <v>2.79</v>
      </c>
      <c r="F42" s="53">
        <v>3.59</v>
      </c>
      <c r="G42" s="53">
        <v>2567.96</v>
      </c>
      <c r="H42" s="45">
        <v>3.5146785142740737E-3</v>
      </c>
      <c r="I42" s="175">
        <f t="shared" si="0"/>
        <v>0.96510625375339465</v>
      </c>
      <c r="J42" s="179" t="s">
        <v>1987</v>
      </c>
    </row>
    <row r="43" spans="1:10" s="43" customFormat="1" ht="13.2" x14ac:dyDescent="0.25">
      <c r="A43" s="171" t="s">
        <v>134</v>
      </c>
      <c r="B43" s="171" t="s">
        <v>171</v>
      </c>
      <c r="C43" s="51" t="s">
        <v>13</v>
      </c>
      <c r="D43" s="52">
        <v>767.55</v>
      </c>
      <c r="E43" s="53">
        <v>2.37</v>
      </c>
      <c r="F43" s="53">
        <v>3.05</v>
      </c>
      <c r="G43" s="53">
        <v>2341.0300000000002</v>
      </c>
      <c r="H43" s="45">
        <v>3.2040872296574068E-3</v>
      </c>
      <c r="I43" s="175">
        <f t="shared" si="0"/>
        <v>0.96831034098305202</v>
      </c>
      <c r="J43" s="179" t="s">
        <v>1987</v>
      </c>
    </row>
    <row r="44" spans="1:10" s="43" customFormat="1" ht="26.4" x14ac:dyDescent="0.25">
      <c r="A44" s="171" t="s">
        <v>236</v>
      </c>
      <c r="B44" s="171" t="s">
        <v>232</v>
      </c>
      <c r="C44" s="51" t="s">
        <v>6</v>
      </c>
      <c r="D44" s="52">
        <v>39.200000000000003</v>
      </c>
      <c r="E44" s="53">
        <v>45.56</v>
      </c>
      <c r="F44" s="53">
        <v>58.69</v>
      </c>
      <c r="G44" s="53">
        <v>2300.65</v>
      </c>
      <c r="H44" s="45">
        <v>3.1488205127278646E-3</v>
      </c>
      <c r="I44" s="175">
        <f t="shared" si="0"/>
        <v>0.97145916149577993</v>
      </c>
      <c r="J44" s="179" t="s">
        <v>1987</v>
      </c>
    </row>
    <row r="45" spans="1:10" s="43" customFormat="1" ht="52.8" x14ac:dyDescent="0.25">
      <c r="A45" s="171" t="s">
        <v>340</v>
      </c>
      <c r="B45" s="171" t="s">
        <v>258</v>
      </c>
      <c r="C45" s="51" t="s">
        <v>13</v>
      </c>
      <c r="D45" s="52">
        <v>174.9</v>
      </c>
      <c r="E45" s="53">
        <v>8.33</v>
      </c>
      <c r="F45" s="53">
        <v>10.73</v>
      </c>
      <c r="G45" s="53">
        <v>1876.68</v>
      </c>
      <c r="H45" s="45">
        <v>2.5685473582796729E-3</v>
      </c>
      <c r="I45" s="175">
        <f t="shared" si="0"/>
        <v>0.97402770885405965</v>
      </c>
      <c r="J45" s="179" t="s">
        <v>1987</v>
      </c>
    </row>
    <row r="46" spans="1:10" s="43" customFormat="1" ht="39.6" x14ac:dyDescent="0.25">
      <c r="A46" s="171" t="s">
        <v>216</v>
      </c>
      <c r="B46" s="171" t="s">
        <v>218</v>
      </c>
      <c r="C46" s="51" t="s">
        <v>19</v>
      </c>
      <c r="D46" s="52">
        <v>24</v>
      </c>
      <c r="E46" s="53">
        <v>57.47</v>
      </c>
      <c r="F46" s="53">
        <v>74.03</v>
      </c>
      <c r="G46" s="53">
        <v>1776.72</v>
      </c>
      <c r="H46" s="45">
        <v>2.4317355448998552E-3</v>
      </c>
      <c r="I46" s="175">
        <f t="shared" si="0"/>
        <v>0.97645944439895949</v>
      </c>
      <c r="J46" s="179" t="s">
        <v>1987</v>
      </c>
    </row>
    <row r="47" spans="1:10" s="43" customFormat="1" ht="26.4" x14ac:dyDescent="0.25">
      <c r="A47" s="171" t="s">
        <v>334</v>
      </c>
      <c r="B47" s="171" t="s">
        <v>241</v>
      </c>
      <c r="C47" s="51" t="s">
        <v>6</v>
      </c>
      <c r="D47" s="52">
        <v>100.8</v>
      </c>
      <c r="E47" s="53">
        <v>13.25</v>
      </c>
      <c r="F47" s="53">
        <v>17.07</v>
      </c>
      <c r="G47" s="53">
        <v>1720.66</v>
      </c>
      <c r="H47" s="45">
        <v>2.355008151361714E-3</v>
      </c>
      <c r="I47" s="175">
        <f t="shared" si="0"/>
        <v>0.97881445255032118</v>
      </c>
      <c r="J47" s="179" t="s">
        <v>1987</v>
      </c>
    </row>
    <row r="48" spans="1:10" s="43" customFormat="1" ht="39.6" x14ac:dyDescent="0.25">
      <c r="A48" s="171" t="s">
        <v>233</v>
      </c>
      <c r="B48" s="171" t="s">
        <v>229</v>
      </c>
      <c r="C48" s="51" t="s">
        <v>13</v>
      </c>
      <c r="D48" s="52">
        <v>2.96</v>
      </c>
      <c r="E48" s="53">
        <v>447.66</v>
      </c>
      <c r="F48" s="53">
        <v>576.67999999999995</v>
      </c>
      <c r="G48" s="53">
        <v>1706.97</v>
      </c>
      <c r="H48" s="45">
        <v>2.3362711192971915E-3</v>
      </c>
      <c r="I48" s="175">
        <f t="shared" si="0"/>
        <v>0.98115072366961842</v>
      </c>
      <c r="J48" s="179" t="s">
        <v>1987</v>
      </c>
    </row>
    <row r="49" spans="1:10" s="43" customFormat="1" ht="25.5" customHeight="1" x14ac:dyDescent="0.25">
      <c r="A49" s="171" t="s">
        <v>230</v>
      </c>
      <c r="B49" s="171" t="s">
        <v>226</v>
      </c>
      <c r="C49" s="51" t="s">
        <v>6</v>
      </c>
      <c r="D49" s="52">
        <v>12</v>
      </c>
      <c r="E49" s="53">
        <v>110.21</v>
      </c>
      <c r="F49" s="53">
        <v>141.97</v>
      </c>
      <c r="G49" s="53">
        <v>1703.64</v>
      </c>
      <c r="H49" s="45">
        <v>2.3317134628490642E-3</v>
      </c>
      <c r="I49" s="175">
        <f t="shared" si="0"/>
        <v>0.98348243713246752</v>
      </c>
      <c r="J49" s="179" t="s">
        <v>1987</v>
      </c>
    </row>
    <row r="50" spans="1:10" s="43" customFormat="1" ht="25.5" customHeight="1" x14ac:dyDescent="0.25">
      <c r="A50" s="171" t="s">
        <v>130</v>
      </c>
      <c r="B50" s="171" t="s">
        <v>160</v>
      </c>
      <c r="C50" s="51" t="s">
        <v>13</v>
      </c>
      <c r="D50" s="52">
        <v>546</v>
      </c>
      <c r="E50" s="53">
        <v>2.15</v>
      </c>
      <c r="F50" s="53">
        <v>2.77</v>
      </c>
      <c r="G50" s="53">
        <v>1512.42</v>
      </c>
      <c r="H50" s="45">
        <v>2.0699972268097611E-3</v>
      </c>
      <c r="I50" s="175">
        <f t="shared" si="0"/>
        <v>0.98555243435927731</v>
      </c>
      <c r="J50" s="179" t="s">
        <v>1987</v>
      </c>
    </row>
    <row r="51" spans="1:10" s="43" customFormat="1" ht="25.5" customHeight="1" x14ac:dyDescent="0.25">
      <c r="A51" s="171" t="s">
        <v>129</v>
      </c>
      <c r="B51" s="171" t="s">
        <v>158</v>
      </c>
      <c r="C51" s="51" t="s">
        <v>6</v>
      </c>
      <c r="D51" s="52">
        <v>2800</v>
      </c>
      <c r="E51" s="53">
        <v>0.39</v>
      </c>
      <c r="F51" s="53">
        <v>0.5</v>
      </c>
      <c r="G51" s="53">
        <v>1400</v>
      </c>
      <c r="H51" s="45">
        <v>1.9161318400534677E-3</v>
      </c>
      <c r="I51" s="175">
        <f t="shared" si="0"/>
        <v>0.98746856619933077</v>
      </c>
      <c r="J51" s="179" t="s">
        <v>1987</v>
      </c>
    </row>
    <row r="52" spans="1:10" s="43" customFormat="1" ht="13.2" x14ac:dyDescent="0.25">
      <c r="A52" s="171" t="s">
        <v>210</v>
      </c>
      <c r="B52" s="171" t="s">
        <v>16</v>
      </c>
      <c r="C52" s="51" t="s">
        <v>118</v>
      </c>
      <c r="D52" s="52">
        <v>98.14</v>
      </c>
      <c r="E52" s="53">
        <v>10.93</v>
      </c>
      <c r="F52" s="53">
        <v>14.08</v>
      </c>
      <c r="G52" s="53">
        <v>1381.81</v>
      </c>
      <c r="H52" s="45">
        <v>1.8912358127887731E-3</v>
      </c>
      <c r="I52" s="175">
        <f t="shared" si="0"/>
        <v>0.98935980201211959</v>
      </c>
      <c r="J52" s="179" t="s">
        <v>1987</v>
      </c>
    </row>
    <row r="53" spans="1:10" s="43" customFormat="1" ht="13.2" x14ac:dyDescent="0.25">
      <c r="A53" s="171" t="s">
        <v>222</v>
      </c>
      <c r="B53" s="171" t="s">
        <v>328</v>
      </c>
      <c r="C53" s="51" t="s">
        <v>28</v>
      </c>
      <c r="D53" s="52">
        <v>109.76</v>
      </c>
      <c r="E53" s="53">
        <v>9.76</v>
      </c>
      <c r="F53" s="53">
        <v>12.57</v>
      </c>
      <c r="G53" s="53">
        <v>1379.68</v>
      </c>
      <c r="H53" s="45">
        <v>1.8883205550606916E-3</v>
      </c>
      <c r="I53" s="175">
        <f t="shared" si="0"/>
        <v>0.99124812256718031</v>
      </c>
      <c r="J53" s="179" t="s">
        <v>1987</v>
      </c>
    </row>
    <row r="54" spans="1:10" s="43" customFormat="1" ht="13.2" x14ac:dyDescent="0.25">
      <c r="A54" s="171" t="s">
        <v>223</v>
      </c>
      <c r="B54" s="171" t="s">
        <v>330</v>
      </c>
      <c r="C54" s="51" t="s">
        <v>28</v>
      </c>
      <c r="D54" s="52">
        <v>99.26</v>
      </c>
      <c r="E54" s="53">
        <v>9.48</v>
      </c>
      <c r="F54" s="53">
        <v>12.21</v>
      </c>
      <c r="G54" s="53">
        <v>1211.96</v>
      </c>
      <c r="H54" s="45">
        <v>1.6587679606222862E-3</v>
      </c>
      <c r="I54" s="175">
        <f t="shared" si="0"/>
        <v>0.99290689052780257</v>
      </c>
      <c r="J54" s="179" t="s">
        <v>1987</v>
      </c>
    </row>
    <row r="55" spans="1:10" s="43" customFormat="1" ht="52.8" x14ac:dyDescent="0.25">
      <c r="A55" s="171" t="s">
        <v>333</v>
      </c>
      <c r="B55" s="171" t="s">
        <v>238</v>
      </c>
      <c r="C55" s="51" t="s">
        <v>13</v>
      </c>
      <c r="D55" s="52">
        <v>2.02</v>
      </c>
      <c r="E55" s="53">
        <v>437.52</v>
      </c>
      <c r="F55" s="53">
        <v>563.61</v>
      </c>
      <c r="G55" s="53">
        <v>1138.49</v>
      </c>
      <c r="H55" s="45">
        <v>1.5582120989874803E-3</v>
      </c>
      <c r="I55" s="175">
        <f t="shared" si="0"/>
        <v>0.99446510262679</v>
      </c>
      <c r="J55" s="179" t="s">
        <v>1987</v>
      </c>
    </row>
    <row r="56" spans="1:10" s="43" customFormat="1" ht="39.6" x14ac:dyDescent="0.25">
      <c r="A56" s="171" t="s">
        <v>144</v>
      </c>
      <c r="B56" s="171" t="s">
        <v>160</v>
      </c>
      <c r="C56" s="51" t="s">
        <v>13</v>
      </c>
      <c r="D56" s="52">
        <v>357.66</v>
      </c>
      <c r="E56" s="53">
        <v>2.15</v>
      </c>
      <c r="F56" s="53">
        <v>2.77</v>
      </c>
      <c r="G56" s="53">
        <v>990.72</v>
      </c>
      <c r="H56" s="45">
        <v>1.3559643832698367E-3</v>
      </c>
      <c r="I56" s="175">
        <f t="shared" si="0"/>
        <v>0.99582106701005979</v>
      </c>
      <c r="J56" s="179" t="s">
        <v>1987</v>
      </c>
    </row>
    <row r="57" spans="1:10" s="43" customFormat="1" ht="25.5" customHeight="1" x14ac:dyDescent="0.25">
      <c r="A57" s="171" t="s">
        <v>209</v>
      </c>
      <c r="B57" s="171" t="s">
        <v>20</v>
      </c>
      <c r="C57" s="51" t="s">
        <v>118</v>
      </c>
      <c r="D57" s="52">
        <v>52.8</v>
      </c>
      <c r="E57" s="53">
        <v>14.23</v>
      </c>
      <c r="F57" s="53">
        <v>18.329999999999998</v>
      </c>
      <c r="G57" s="53">
        <v>967.82</v>
      </c>
      <c r="H57" s="45">
        <v>1.3246219410289622E-3</v>
      </c>
      <c r="I57" s="175">
        <f t="shared" si="0"/>
        <v>0.99714568895108879</v>
      </c>
      <c r="J57" s="179" t="s">
        <v>1987</v>
      </c>
    </row>
    <row r="58" spans="1:10" s="43" customFormat="1" ht="25.5" customHeight="1" x14ac:dyDescent="0.25">
      <c r="A58" s="171" t="s">
        <v>120</v>
      </c>
      <c r="B58" s="171" t="s">
        <v>200</v>
      </c>
      <c r="C58" s="51" t="s">
        <v>13</v>
      </c>
      <c r="D58" s="52">
        <v>4.25</v>
      </c>
      <c r="E58" s="53">
        <v>115.52</v>
      </c>
      <c r="F58" s="53">
        <v>148.81</v>
      </c>
      <c r="G58" s="53">
        <v>632.44000000000005</v>
      </c>
      <c r="H58" s="45">
        <v>8.6559887208815362E-4</v>
      </c>
      <c r="I58" s="175">
        <f t="shared" si="0"/>
        <v>0.99801128782317694</v>
      </c>
      <c r="J58" s="179" t="s">
        <v>1987</v>
      </c>
    </row>
    <row r="59" spans="1:10" s="43" customFormat="1" ht="25.5" customHeight="1" x14ac:dyDescent="0.25">
      <c r="A59" s="171" t="s">
        <v>121</v>
      </c>
      <c r="B59" s="171" t="s">
        <v>202</v>
      </c>
      <c r="C59" s="51" t="s">
        <v>6</v>
      </c>
      <c r="D59" s="52">
        <v>17</v>
      </c>
      <c r="E59" s="53">
        <v>26.3</v>
      </c>
      <c r="F59" s="53">
        <v>33.880000000000003</v>
      </c>
      <c r="G59" s="53">
        <v>575.96</v>
      </c>
      <c r="H59" s="45">
        <v>7.8829663899799662E-4</v>
      </c>
      <c r="I59" s="175">
        <f t="shared" si="0"/>
        <v>0.99879958446217498</v>
      </c>
      <c r="J59" s="179" t="s">
        <v>1987</v>
      </c>
    </row>
    <row r="60" spans="1:10" x14ac:dyDescent="0.25">
      <c r="A60" s="171" t="s">
        <v>132</v>
      </c>
      <c r="B60" s="171" t="s">
        <v>166</v>
      </c>
      <c r="C60" s="51" t="s">
        <v>19</v>
      </c>
      <c r="D60" s="52">
        <v>90</v>
      </c>
      <c r="E60" s="53">
        <v>3.83</v>
      </c>
      <c r="F60" s="53">
        <v>4.93</v>
      </c>
      <c r="G60" s="53">
        <v>443.7</v>
      </c>
      <c r="H60" s="45">
        <v>6.0727692673694545E-4</v>
      </c>
      <c r="I60" s="175">
        <f t="shared" si="0"/>
        <v>0.99940686138891188</v>
      </c>
      <c r="J60" s="179" t="s">
        <v>1987</v>
      </c>
    </row>
    <row r="61" spans="1:10" ht="56.25" customHeight="1" x14ac:dyDescent="0.25">
      <c r="A61" s="171" t="s">
        <v>138</v>
      </c>
      <c r="B61" s="171" t="s">
        <v>181</v>
      </c>
      <c r="C61" s="51" t="s">
        <v>126</v>
      </c>
      <c r="D61" s="52">
        <v>112</v>
      </c>
      <c r="E61" s="53">
        <v>2.1</v>
      </c>
      <c r="F61" s="53">
        <v>2.71</v>
      </c>
      <c r="G61" s="53">
        <v>303.52</v>
      </c>
      <c r="H61" s="45">
        <v>4.1541738292359183E-4</v>
      </c>
      <c r="I61" s="175">
        <f t="shared" si="0"/>
        <v>0.99982227877183549</v>
      </c>
      <c r="J61" s="179" t="s">
        <v>1987</v>
      </c>
    </row>
    <row r="62" spans="1:10" ht="14.55" customHeight="1" x14ac:dyDescent="0.25">
      <c r="A62" s="171" t="s">
        <v>247</v>
      </c>
      <c r="B62" s="171" t="s">
        <v>249</v>
      </c>
      <c r="C62" s="51" t="s">
        <v>6</v>
      </c>
      <c r="D62" s="52">
        <v>87.15</v>
      </c>
      <c r="E62" s="53">
        <v>1.1599999999999999</v>
      </c>
      <c r="F62" s="53">
        <v>1.49</v>
      </c>
      <c r="G62" s="53">
        <v>129.85</v>
      </c>
      <c r="H62" s="45">
        <v>1.7772122816495914E-4</v>
      </c>
      <c r="I62" s="175">
        <f t="shared" si="0"/>
        <v>1.0000000000000004</v>
      </c>
      <c r="J62" s="179" t="s">
        <v>1987</v>
      </c>
    </row>
    <row r="63" spans="1:10" ht="14.55" customHeight="1" x14ac:dyDescent="0.25">
      <c r="A63" s="168"/>
      <c r="B63" s="168"/>
      <c r="C63" s="168"/>
      <c r="D63" s="168"/>
      <c r="E63" s="168"/>
      <c r="F63" s="168"/>
      <c r="G63" s="168"/>
      <c r="H63" s="168"/>
    </row>
    <row r="64" spans="1:10" ht="14.55" customHeight="1" x14ac:dyDescent="0.25">
      <c r="A64" s="170"/>
      <c r="B64" s="54"/>
      <c r="C64" s="170"/>
      <c r="D64" s="182" t="s">
        <v>93</v>
      </c>
      <c r="E64" s="183"/>
      <c r="F64" s="184">
        <v>567178.78</v>
      </c>
      <c r="G64" s="183"/>
      <c r="H64" s="183"/>
    </row>
    <row r="65" spans="1:8" ht="14.55" customHeight="1" x14ac:dyDescent="0.25">
      <c r="A65" s="170"/>
      <c r="B65" s="284"/>
      <c r="C65" s="170"/>
      <c r="D65" s="182" t="s">
        <v>94</v>
      </c>
      <c r="E65" s="183"/>
      <c r="F65" s="184">
        <v>163459.88</v>
      </c>
      <c r="G65" s="183"/>
      <c r="H65" s="183"/>
    </row>
    <row r="66" spans="1:8" ht="14.55" customHeight="1" x14ac:dyDescent="0.25">
      <c r="A66" s="170"/>
      <c r="B66" s="172" t="s">
        <v>1991</v>
      </c>
      <c r="C66" s="170"/>
      <c r="D66" s="182" t="s">
        <v>95</v>
      </c>
      <c r="E66" s="183"/>
      <c r="F66" s="184">
        <v>730638.66</v>
      </c>
      <c r="G66" s="183"/>
      <c r="H66" s="183"/>
    </row>
    <row r="67" spans="1:8" ht="15" customHeight="1" x14ac:dyDescent="0.25">
      <c r="A67" s="283"/>
      <c r="B67" s="172" t="s">
        <v>1990</v>
      </c>
      <c r="C67" s="170"/>
    </row>
    <row r="68" spans="1:8" ht="124.5" customHeight="1" x14ac:dyDescent="0.25">
      <c r="A68" s="283"/>
      <c r="B68" s="283"/>
      <c r="C68" s="170"/>
    </row>
    <row r="69" spans="1:8" ht="48" customHeight="1" x14ac:dyDescent="0.25">
      <c r="A69" s="50"/>
      <c r="B69" s="185"/>
      <c r="C69" s="185"/>
      <c r="D69" s="185"/>
      <c r="E69" s="185"/>
      <c r="F69" s="185"/>
      <c r="G69" s="50"/>
      <c r="H69" s="50"/>
    </row>
    <row r="70" spans="1:8" x14ac:dyDescent="0.25">
      <c r="A70" s="180"/>
      <c r="B70" s="181"/>
      <c r="C70" s="181"/>
      <c r="D70" s="181"/>
      <c r="E70" s="181"/>
      <c r="F70" s="181"/>
      <c r="G70" s="181"/>
      <c r="H70" s="181"/>
    </row>
    <row r="71" spans="1:8" x14ac:dyDescent="0.25">
      <c r="A71" s="169"/>
      <c r="B71" s="169"/>
      <c r="C71" s="169"/>
      <c r="D71" s="169"/>
      <c r="E71" s="169"/>
      <c r="F71" s="169"/>
      <c r="G71" s="169"/>
      <c r="H71" s="169"/>
    </row>
    <row r="72" spans="1:8" x14ac:dyDescent="0.25">
      <c r="A72" s="169"/>
      <c r="B72" s="169"/>
      <c r="C72" s="169"/>
      <c r="D72" s="169"/>
      <c r="E72" s="169"/>
      <c r="F72" s="169"/>
      <c r="G72" s="169"/>
      <c r="H72" s="169"/>
    </row>
    <row r="73" spans="1:8" x14ac:dyDescent="0.25">
      <c r="A73" s="169"/>
      <c r="B73" s="169"/>
      <c r="C73" s="169"/>
      <c r="D73" s="169"/>
      <c r="E73" s="169"/>
      <c r="F73" s="169"/>
      <c r="G73" s="169"/>
      <c r="H73" s="169"/>
    </row>
    <row r="74" spans="1:8" x14ac:dyDescent="0.25">
      <c r="A74" s="169"/>
      <c r="B74" s="169"/>
      <c r="C74" s="169"/>
      <c r="D74" s="169"/>
      <c r="E74" s="169"/>
      <c r="F74" s="169"/>
      <c r="G74" s="169"/>
      <c r="H74" s="169"/>
    </row>
    <row r="75" spans="1:8" x14ac:dyDescent="0.25">
      <c r="A75" s="169"/>
      <c r="B75" s="169"/>
      <c r="C75" s="169"/>
      <c r="D75" s="169"/>
      <c r="E75" s="169"/>
      <c r="F75" s="169"/>
      <c r="G75" s="169"/>
      <c r="H75" s="169"/>
    </row>
    <row r="76" spans="1:8" x14ac:dyDescent="0.25">
      <c r="A76" s="169"/>
      <c r="B76" s="169"/>
      <c r="C76" s="169"/>
      <c r="D76" s="169"/>
      <c r="E76" s="169"/>
      <c r="F76" s="169"/>
      <c r="G76" s="169"/>
      <c r="H76" s="169"/>
    </row>
    <row r="77" spans="1:8" x14ac:dyDescent="0.25">
      <c r="A77" s="169"/>
      <c r="B77" s="169"/>
      <c r="C77" s="169"/>
      <c r="D77" s="169"/>
      <c r="E77" s="169"/>
      <c r="F77" s="169"/>
      <c r="G77" s="169"/>
      <c r="H77" s="169"/>
    </row>
    <row r="78" spans="1:8" x14ac:dyDescent="0.25">
      <c r="A78" s="169"/>
      <c r="B78" s="169"/>
      <c r="C78" s="169"/>
      <c r="D78" s="169"/>
      <c r="E78" s="169"/>
      <c r="F78" s="169"/>
      <c r="G78" s="169"/>
      <c r="H78" s="169"/>
    </row>
    <row r="79" spans="1:8" x14ac:dyDescent="0.25">
      <c r="A79" s="169"/>
      <c r="B79" s="169"/>
      <c r="C79" s="169"/>
      <c r="D79" s="169"/>
      <c r="E79" s="169"/>
      <c r="F79" s="169"/>
      <c r="G79" s="169"/>
      <c r="H79" s="169"/>
    </row>
    <row r="80" spans="1:8" x14ac:dyDescent="0.25">
      <c r="A80" s="169"/>
      <c r="B80" s="169"/>
      <c r="C80" s="169"/>
      <c r="D80" s="169"/>
      <c r="E80" s="169"/>
      <c r="F80" s="169"/>
      <c r="G80" s="169"/>
      <c r="H80" s="169"/>
    </row>
    <row r="81" spans="1:8" x14ac:dyDescent="0.25">
      <c r="A81" s="169"/>
      <c r="B81" s="169"/>
      <c r="C81" s="169"/>
      <c r="D81" s="169"/>
      <c r="E81" s="169"/>
      <c r="F81" s="169"/>
      <c r="G81" s="169"/>
      <c r="H81" s="169"/>
    </row>
    <row r="82" spans="1:8" x14ac:dyDescent="0.25">
      <c r="A82" s="169"/>
      <c r="B82" s="169"/>
      <c r="C82" s="169"/>
      <c r="D82" s="169"/>
      <c r="E82" s="169"/>
      <c r="F82" s="169"/>
      <c r="G82" s="169"/>
      <c r="H82" s="169"/>
    </row>
    <row r="83" spans="1:8" x14ac:dyDescent="0.25">
      <c r="A83" s="169"/>
      <c r="B83" s="169"/>
      <c r="C83" s="169"/>
      <c r="D83" s="169"/>
      <c r="E83" s="169"/>
      <c r="F83" s="169"/>
      <c r="G83" s="169"/>
      <c r="H83" s="169"/>
    </row>
    <row r="84" spans="1:8" x14ac:dyDescent="0.25">
      <c r="A84" s="169"/>
      <c r="B84" s="169"/>
      <c r="C84" s="169"/>
      <c r="D84" s="169"/>
      <c r="E84" s="169"/>
      <c r="F84" s="169"/>
      <c r="G84" s="169"/>
      <c r="H84" s="169"/>
    </row>
    <row r="85" spans="1:8" x14ac:dyDescent="0.25">
      <c r="A85" s="169"/>
      <c r="B85" s="169"/>
      <c r="C85" s="169"/>
      <c r="D85" s="169"/>
      <c r="E85" s="169"/>
      <c r="F85" s="169"/>
      <c r="G85" s="169"/>
      <c r="H85" s="169"/>
    </row>
    <row r="86" spans="1:8" x14ac:dyDescent="0.25">
      <c r="A86" s="169"/>
      <c r="B86" s="169"/>
      <c r="C86" s="169"/>
      <c r="D86" s="169"/>
      <c r="E86" s="169"/>
      <c r="F86" s="169"/>
      <c r="G86" s="169"/>
      <c r="H86" s="169"/>
    </row>
    <row r="87" spans="1:8" x14ac:dyDescent="0.25">
      <c r="A87" s="169"/>
      <c r="B87" s="169"/>
      <c r="C87" s="169"/>
      <c r="D87" s="169"/>
      <c r="E87" s="169"/>
      <c r="F87" s="169"/>
      <c r="G87" s="169"/>
      <c r="H87" s="169"/>
    </row>
    <row r="88" spans="1:8" x14ac:dyDescent="0.25">
      <c r="A88" s="169"/>
      <c r="B88" s="169"/>
      <c r="C88" s="169"/>
      <c r="D88" s="169"/>
      <c r="E88" s="169"/>
      <c r="F88" s="169"/>
      <c r="G88" s="169"/>
      <c r="H88" s="169"/>
    </row>
    <row r="89" spans="1:8" x14ac:dyDescent="0.25">
      <c r="A89" s="169"/>
      <c r="B89" s="169"/>
      <c r="C89" s="169"/>
      <c r="D89" s="169"/>
      <c r="E89" s="169"/>
      <c r="F89" s="169"/>
      <c r="G89" s="169"/>
      <c r="H89" s="169"/>
    </row>
    <row r="90" spans="1:8" x14ac:dyDescent="0.25">
      <c r="A90" s="169"/>
      <c r="B90" s="169"/>
      <c r="C90" s="169"/>
      <c r="D90" s="169"/>
      <c r="E90" s="169"/>
      <c r="F90" s="169"/>
      <c r="G90" s="169"/>
      <c r="H90" s="169"/>
    </row>
    <row r="91" spans="1:8" x14ac:dyDescent="0.25">
      <c r="A91" s="169"/>
      <c r="B91" s="169"/>
      <c r="C91" s="169"/>
      <c r="D91" s="169"/>
      <c r="E91" s="169"/>
      <c r="F91" s="169"/>
      <c r="G91" s="169"/>
      <c r="H91" s="169"/>
    </row>
    <row r="92" spans="1:8" x14ac:dyDescent="0.25">
      <c r="A92" s="169"/>
      <c r="B92" s="169"/>
      <c r="C92" s="169"/>
      <c r="D92" s="169"/>
      <c r="E92" s="169"/>
      <c r="F92" s="169"/>
      <c r="G92" s="169"/>
      <c r="H92" s="169"/>
    </row>
    <row r="93" spans="1:8" x14ac:dyDescent="0.25">
      <c r="A93" s="169"/>
      <c r="B93" s="169"/>
      <c r="C93" s="169"/>
      <c r="D93" s="169"/>
      <c r="E93" s="169"/>
      <c r="F93" s="169"/>
      <c r="G93" s="169"/>
      <c r="H93" s="169"/>
    </row>
    <row r="94" spans="1:8" x14ac:dyDescent="0.25">
      <c r="A94" s="169"/>
      <c r="B94" s="169"/>
      <c r="C94" s="169"/>
      <c r="D94" s="169"/>
      <c r="E94" s="169"/>
      <c r="F94" s="169"/>
      <c r="G94" s="169"/>
      <c r="H94" s="169"/>
    </row>
    <row r="95" spans="1:8" x14ac:dyDescent="0.25">
      <c r="A95" s="169"/>
      <c r="B95" s="169"/>
      <c r="C95" s="169"/>
      <c r="D95" s="169"/>
      <c r="E95" s="169"/>
      <c r="F95" s="169"/>
      <c r="G95" s="169"/>
      <c r="H95" s="169"/>
    </row>
    <row r="96" spans="1:8" x14ac:dyDescent="0.25">
      <c r="A96" s="169"/>
      <c r="B96" s="169"/>
      <c r="C96" s="169"/>
      <c r="D96" s="169"/>
      <c r="E96" s="169"/>
      <c r="F96" s="169"/>
      <c r="G96" s="169"/>
      <c r="H96" s="169"/>
    </row>
    <row r="97" spans="1:8" x14ac:dyDescent="0.25">
      <c r="A97" s="169"/>
      <c r="B97" s="169"/>
      <c r="C97" s="169"/>
      <c r="D97" s="169"/>
      <c r="E97" s="169"/>
      <c r="F97" s="169"/>
      <c r="G97" s="169"/>
      <c r="H97" s="169"/>
    </row>
    <row r="98" spans="1:8" x14ac:dyDescent="0.25">
      <c r="A98" s="169"/>
      <c r="B98" s="169"/>
      <c r="C98" s="169"/>
      <c r="D98" s="169"/>
      <c r="E98" s="169"/>
      <c r="F98" s="169"/>
      <c r="G98" s="169"/>
      <c r="H98" s="169"/>
    </row>
    <row r="99" spans="1:8" x14ac:dyDescent="0.25">
      <c r="A99" s="169"/>
      <c r="B99" s="169"/>
      <c r="C99" s="169"/>
      <c r="D99" s="169"/>
      <c r="E99" s="169"/>
      <c r="F99" s="169"/>
      <c r="G99" s="169"/>
      <c r="H99" s="169"/>
    </row>
    <row r="100" spans="1:8" x14ac:dyDescent="0.25">
      <c r="A100" s="169"/>
      <c r="B100" s="169"/>
      <c r="C100" s="169"/>
      <c r="D100" s="169"/>
      <c r="E100" s="169"/>
      <c r="F100" s="169"/>
      <c r="G100" s="169"/>
      <c r="H100" s="169"/>
    </row>
    <row r="101" spans="1:8" x14ac:dyDescent="0.25">
      <c r="A101" s="169"/>
      <c r="B101" s="169"/>
      <c r="C101" s="169"/>
      <c r="D101" s="169"/>
      <c r="E101" s="169"/>
      <c r="F101" s="169"/>
      <c r="G101" s="169"/>
      <c r="H101" s="169"/>
    </row>
    <row r="102" spans="1:8" x14ac:dyDescent="0.25">
      <c r="A102" s="169"/>
      <c r="B102" s="169"/>
      <c r="C102" s="169"/>
      <c r="D102" s="169"/>
      <c r="E102" s="169"/>
      <c r="F102" s="169"/>
      <c r="G102" s="169"/>
      <c r="H102" s="169"/>
    </row>
    <row r="103" spans="1:8" x14ac:dyDescent="0.25">
      <c r="A103" s="169"/>
      <c r="B103" s="169"/>
      <c r="C103" s="169"/>
      <c r="D103" s="169"/>
      <c r="E103" s="169"/>
      <c r="F103" s="169"/>
      <c r="G103" s="169"/>
      <c r="H103" s="169"/>
    </row>
    <row r="104" spans="1:8" x14ac:dyDescent="0.25">
      <c r="A104" s="169"/>
      <c r="B104" s="169"/>
      <c r="C104" s="169"/>
      <c r="D104" s="169"/>
      <c r="E104" s="169"/>
      <c r="F104" s="169"/>
      <c r="G104" s="169"/>
      <c r="H104" s="169"/>
    </row>
    <row r="105" spans="1:8" x14ac:dyDescent="0.25">
      <c r="A105" s="169"/>
      <c r="B105" s="169"/>
      <c r="C105" s="169"/>
      <c r="D105" s="169"/>
      <c r="E105" s="169"/>
      <c r="F105" s="169"/>
      <c r="G105" s="169"/>
      <c r="H105" s="169"/>
    </row>
    <row r="106" spans="1:8" x14ac:dyDescent="0.25">
      <c r="A106" s="169"/>
      <c r="B106" s="169"/>
      <c r="C106" s="169"/>
      <c r="D106" s="169"/>
      <c r="E106" s="169"/>
      <c r="F106" s="169"/>
      <c r="G106" s="169"/>
      <c r="H106" s="169"/>
    </row>
    <row r="107" spans="1:8" x14ac:dyDescent="0.25">
      <c r="A107" s="169"/>
      <c r="B107" s="169"/>
      <c r="C107" s="169"/>
      <c r="D107" s="169"/>
      <c r="E107" s="169"/>
      <c r="F107" s="169"/>
      <c r="G107" s="169"/>
      <c r="H107" s="169"/>
    </row>
    <row r="108" spans="1:8" x14ac:dyDescent="0.25">
      <c r="A108" s="169"/>
      <c r="B108" s="169"/>
      <c r="C108" s="169"/>
      <c r="D108" s="169"/>
      <c r="E108" s="169"/>
      <c r="F108" s="169"/>
      <c r="G108" s="169"/>
      <c r="H108" s="169"/>
    </row>
    <row r="109" spans="1:8" x14ac:dyDescent="0.25">
      <c r="A109" s="169"/>
      <c r="B109" s="169"/>
      <c r="C109" s="169"/>
      <c r="D109" s="169"/>
      <c r="E109" s="169"/>
      <c r="F109" s="169"/>
      <c r="G109" s="169"/>
      <c r="H109" s="169"/>
    </row>
    <row r="110" spans="1:8" x14ac:dyDescent="0.25">
      <c r="A110" s="169"/>
      <c r="B110" s="169"/>
      <c r="C110" s="169"/>
      <c r="D110" s="169"/>
      <c r="E110" s="169"/>
      <c r="F110" s="169"/>
      <c r="G110" s="169"/>
      <c r="H110" s="169"/>
    </row>
    <row r="111" spans="1:8" x14ac:dyDescent="0.25">
      <c r="A111" s="169"/>
      <c r="B111" s="169"/>
      <c r="C111" s="169"/>
      <c r="D111" s="169"/>
      <c r="E111" s="169"/>
      <c r="F111" s="169"/>
      <c r="G111" s="169"/>
      <c r="H111" s="169"/>
    </row>
    <row r="112" spans="1:8" x14ac:dyDescent="0.25">
      <c r="A112" s="169"/>
      <c r="B112" s="169"/>
      <c r="C112" s="169"/>
      <c r="D112" s="169"/>
      <c r="E112" s="169"/>
      <c r="F112" s="169"/>
      <c r="G112" s="169"/>
      <c r="H112" s="169"/>
    </row>
  </sheetData>
  <sortState ref="A9:J62">
    <sortCondition descending="1" ref="G9:G62"/>
  </sortState>
  <mergeCells count="15">
    <mergeCell ref="C1:D1"/>
    <mergeCell ref="E1:F1"/>
    <mergeCell ref="G1:H1"/>
    <mergeCell ref="C2:D2"/>
    <mergeCell ref="E2:F2"/>
    <mergeCell ref="G2:H5"/>
    <mergeCell ref="A70:H70"/>
    <mergeCell ref="D66:E66"/>
    <mergeCell ref="F66:H66"/>
    <mergeCell ref="B69:F69"/>
    <mergeCell ref="A7:G7"/>
    <mergeCell ref="D64:E64"/>
    <mergeCell ref="F64:H64"/>
    <mergeCell ref="D65:E65"/>
    <mergeCell ref="F65:H65"/>
  </mergeCells>
  <pageMargins left="0.51181102362204722" right="0.51181102362204722" top="0.78740157480314965" bottom="0.78740157480314965" header="0.31496062992125984" footer="0.31496062992125984"/>
  <pageSetup paperSize="9" scale="75" orientation="landscape" r:id="rId1"/>
  <headerFooter>
    <oddFooter>&amp;C&amp;A&amp;Rpag &amp;P de&amp;N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view="pageBreakPreview" zoomScaleNormal="100" zoomScaleSheetLayoutView="100" workbookViewId="0">
      <selection activeCell="B4" sqref="B4"/>
    </sheetView>
  </sheetViews>
  <sheetFormatPr defaultColWidth="9" defaultRowHeight="14.4" x14ac:dyDescent="0.25"/>
  <cols>
    <col min="1" max="1" width="7.296875" style="40" customWidth="1"/>
    <col min="2" max="2" width="12.5" style="40" customWidth="1"/>
    <col min="3" max="3" width="12" style="40" bestFit="1" customWidth="1"/>
    <col min="4" max="4" width="60" style="40" bestFit="1" customWidth="1"/>
    <col min="5" max="5" width="7.59765625" style="40" bestFit="1" customWidth="1"/>
    <col min="6" max="6" width="9.09765625" style="40" customWidth="1"/>
    <col min="7" max="7" width="9.5" style="40" bestFit="1" customWidth="1"/>
    <col min="8" max="8" width="10.69921875" style="40" customWidth="1"/>
    <col min="9" max="9" width="12" style="40" customWidth="1"/>
    <col min="10" max="16384" width="9" style="40"/>
  </cols>
  <sheetData>
    <row r="1" spans="1:13" ht="15.6" x14ac:dyDescent="0.25">
      <c r="A1" s="68" t="s">
        <v>350</v>
      </c>
      <c r="B1" s="39"/>
      <c r="C1" s="39"/>
      <c r="D1" s="39"/>
      <c r="E1" s="187"/>
      <c r="F1" s="187"/>
      <c r="G1" s="188" t="s">
        <v>23</v>
      </c>
      <c r="H1" s="188"/>
      <c r="I1" s="188" t="s">
        <v>24</v>
      </c>
      <c r="J1" s="188"/>
    </row>
    <row r="2" spans="1:13" ht="14.25" customHeight="1" x14ac:dyDescent="0.25">
      <c r="A2" s="68" t="s">
        <v>148</v>
      </c>
      <c r="B2" s="41"/>
      <c r="C2" s="41"/>
      <c r="D2" s="41"/>
      <c r="E2" s="189"/>
      <c r="F2" s="189"/>
      <c r="G2" s="190">
        <f>BDI!N27</f>
        <v>0.28820000000000001</v>
      </c>
      <c r="H2" s="188"/>
      <c r="I2" s="191" t="s">
        <v>25</v>
      </c>
      <c r="J2" s="191"/>
    </row>
    <row r="3" spans="1:13" ht="14.25" customHeight="1" x14ac:dyDescent="0.25">
      <c r="A3" s="68" t="s">
        <v>149</v>
      </c>
      <c r="B3" s="41"/>
      <c r="C3" s="41"/>
      <c r="D3" s="41"/>
      <c r="E3" s="41"/>
      <c r="F3" s="41"/>
      <c r="G3" s="41"/>
      <c r="H3" s="41"/>
      <c r="I3" s="191"/>
      <c r="J3" s="191"/>
    </row>
    <row r="4" spans="1:13" ht="15.6" x14ac:dyDescent="0.25">
      <c r="A4" s="68" t="s">
        <v>1372</v>
      </c>
      <c r="B4" s="41"/>
      <c r="C4" s="41"/>
      <c r="D4" s="41"/>
      <c r="E4" s="41"/>
      <c r="F4" s="41"/>
      <c r="G4" s="41"/>
      <c r="H4" s="41"/>
      <c r="I4" s="191"/>
      <c r="J4" s="191"/>
    </row>
    <row r="5" spans="1:13" ht="15.6" x14ac:dyDescent="0.25">
      <c r="A5" s="68" t="s">
        <v>1371</v>
      </c>
      <c r="B5" s="41"/>
      <c r="C5" s="41"/>
      <c r="D5" s="41"/>
      <c r="E5" s="41"/>
      <c r="F5" s="41"/>
      <c r="G5" s="41"/>
      <c r="H5" s="41"/>
      <c r="I5" s="191"/>
      <c r="J5" s="191"/>
    </row>
    <row r="6" spans="1:13" x14ac:dyDescent="0.25">
      <c r="A6" s="42"/>
      <c r="B6" s="41"/>
      <c r="C6" s="41"/>
      <c r="D6" s="41"/>
      <c r="E6" s="41"/>
      <c r="F6" s="41"/>
      <c r="G6" s="41"/>
      <c r="H6" s="41"/>
      <c r="I6" s="41"/>
      <c r="J6" s="41"/>
    </row>
    <row r="7" spans="1:13" ht="15" customHeight="1" x14ac:dyDescent="0.25">
      <c r="A7" s="186" t="s">
        <v>26</v>
      </c>
      <c r="B7" s="186"/>
      <c r="C7" s="186"/>
      <c r="D7" s="186"/>
      <c r="E7" s="186"/>
      <c r="F7" s="186"/>
      <c r="G7" s="186"/>
      <c r="H7" s="186"/>
      <c r="I7" s="186"/>
      <c r="J7" s="46"/>
    </row>
    <row r="8" spans="1:13" s="43" customFormat="1" ht="27.6" x14ac:dyDescent="0.25">
      <c r="A8" s="100" t="s">
        <v>0</v>
      </c>
      <c r="B8" s="99" t="s">
        <v>82</v>
      </c>
      <c r="C8" s="100" t="s">
        <v>83</v>
      </c>
      <c r="D8" s="100" t="s">
        <v>1</v>
      </c>
      <c r="E8" s="101" t="s">
        <v>2</v>
      </c>
      <c r="F8" s="99" t="s">
        <v>3</v>
      </c>
      <c r="G8" s="99" t="s">
        <v>84</v>
      </c>
      <c r="H8" s="99" t="s">
        <v>85</v>
      </c>
      <c r="I8" s="99" t="s">
        <v>86</v>
      </c>
      <c r="J8" s="99" t="s">
        <v>96</v>
      </c>
      <c r="M8" s="44"/>
    </row>
    <row r="9" spans="1:13" s="43" customFormat="1" ht="13.2" x14ac:dyDescent="0.25">
      <c r="A9" s="142" t="s">
        <v>4</v>
      </c>
      <c r="B9" s="142"/>
      <c r="C9" s="142"/>
      <c r="D9" s="142" t="s">
        <v>150</v>
      </c>
      <c r="E9" s="142"/>
      <c r="F9" s="73"/>
      <c r="G9" s="142"/>
      <c r="H9" s="142"/>
      <c r="I9" s="74">
        <v>5451.12</v>
      </c>
      <c r="J9" s="75">
        <v>7.460760425680185E-3</v>
      </c>
      <c r="M9" s="44"/>
    </row>
    <row r="10" spans="1:13" s="43" customFormat="1" ht="13.2" x14ac:dyDescent="0.25">
      <c r="A10" s="143" t="s">
        <v>5</v>
      </c>
      <c r="B10" s="52" t="s">
        <v>151</v>
      </c>
      <c r="C10" s="143" t="s">
        <v>1373</v>
      </c>
      <c r="D10" s="143" t="s">
        <v>152</v>
      </c>
      <c r="E10" s="51" t="s">
        <v>6</v>
      </c>
      <c r="F10" s="52">
        <v>4.8</v>
      </c>
      <c r="G10" s="53">
        <v>881.58</v>
      </c>
      <c r="H10" s="53">
        <v>1135.6500000000001</v>
      </c>
      <c r="I10" s="53">
        <v>5451.12</v>
      </c>
      <c r="J10" s="45">
        <v>7.460760425680185E-3</v>
      </c>
      <c r="M10" s="44"/>
    </row>
    <row r="11" spans="1:13" s="43" customFormat="1" ht="38.25" customHeight="1" x14ac:dyDescent="0.25">
      <c r="A11" s="142" t="s">
        <v>7</v>
      </c>
      <c r="B11" s="142"/>
      <c r="C11" s="142"/>
      <c r="D11" s="142" t="s">
        <v>117</v>
      </c>
      <c r="E11" s="142"/>
      <c r="F11" s="73"/>
      <c r="G11" s="142"/>
      <c r="H11" s="142"/>
      <c r="I11" s="74">
        <v>103823.03</v>
      </c>
      <c r="J11" s="75">
        <v>0.14209900965273314</v>
      </c>
      <c r="M11" s="44"/>
    </row>
    <row r="12" spans="1:13" s="43" customFormat="1" ht="13.2" x14ac:dyDescent="0.25">
      <c r="A12" s="142" t="s">
        <v>8</v>
      </c>
      <c r="B12" s="142"/>
      <c r="C12" s="142"/>
      <c r="D12" s="142" t="s">
        <v>153</v>
      </c>
      <c r="E12" s="142"/>
      <c r="F12" s="73"/>
      <c r="G12" s="142"/>
      <c r="H12" s="142"/>
      <c r="I12" s="74">
        <v>7517.94</v>
      </c>
      <c r="J12" s="75">
        <v>1.028954586115112E-2</v>
      </c>
      <c r="M12" s="44"/>
    </row>
    <row r="13" spans="1:13" s="43" customFormat="1" ht="26.4" x14ac:dyDescent="0.25">
      <c r="A13" s="143" t="s">
        <v>127</v>
      </c>
      <c r="B13" s="52" t="s">
        <v>154</v>
      </c>
      <c r="C13" s="143" t="s">
        <v>87</v>
      </c>
      <c r="D13" s="143" t="s">
        <v>155</v>
      </c>
      <c r="E13" s="51" t="s">
        <v>6</v>
      </c>
      <c r="F13" s="52">
        <v>6</v>
      </c>
      <c r="G13" s="53">
        <v>972.67</v>
      </c>
      <c r="H13" s="53">
        <v>1252.99</v>
      </c>
      <c r="I13" s="53">
        <v>7517.94</v>
      </c>
      <c r="J13" s="45">
        <v>1.028954586115112E-2</v>
      </c>
      <c r="M13" s="44"/>
    </row>
    <row r="14" spans="1:13" s="43" customFormat="1" ht="13.2" x14ac:dyDescent="0.25">
      <c r="A14" s="142" t="s">
        <v>9</v>
      </c>
      <c r="B14" s="142"/>
      <c r="C14" s="142"/>
      <c r="D14" s="142" t="s">
        <v>156</v>
      </c>
      <c r="E14" s="142"/>
      <c r="F14" s="73"/>
      <c r="G14" s="142"/>
      <c r="H14" s="142"/>
      <c r="I14" s="74">
        <v>6832.7</v>
      </c>
      <c r="J14" s="75">
        <v>9.3516814453809497E-3</v>
      </c>
      <c r="M14" s="44"/>
    </row>
    <row r="15" spans="1:13" s="43" customFormat="1" ht="39.6" x14ac:dyDescent="0.25">
      <c r="A15" s="143" t="s">
        <v>129</v>
      </c>
      <c r="B15" s="52" t="s">
        <v>157</v>
      </c>
      <c r="C15" s="143" t="s">
        <v>87</v>
      </c>
      <c r="D15" s="143" t="s">
        <v>158</v>
      </c>
      <c r="E15" s="51" t="s">
        <v>6</v>
      </c>
      <c r="F15" s="52">
        <v>2800</v>
      </c>
      <c r="G15" s="53">
        <v>0.39</v>
      </c>
      <c r="H15" s="53">
        <v>0.5</v>
      </c>
      <c r="I15" s="53">
        <v>1400</v>
      </c>
      <c r="J15" s="45">
        <v>1.9161318400534677E-3</v>
      </c>
      <c r="M15" s="44"/>
    </row>
    <row r="16" spans="1:13" s="43" customFormat="1" ht="39.6" x14ac:dyDescent="0.25">
      <c r="A16" s="143" t="s">
        <v>130</v>
      </c>
      <c r="B16" s="52" t="s">
        <v>159</v>
      </c>
      <c r="C16" s="143" t="s">
        <v>87</v>
      </c>
      <c r="D16" s="143" t="s">
        <v>160</v>
      </c>
      <c r="E16" s="51" t="s">
        <v>13</v>
      </c>
      <c r="F16" s="52">
        <v>546</v>
      </c>
      <c r="G16" s="53">
        <v>2.15</v>
      </c>
      <c r="H16" s="53">
        <v>2.77</v>
      </c>
      <c r="I16" s="53">
        <v>1512.42</v>
      </c>
      <c r="J16" s="45">
        <v>2.0699972268097611E-3</v>
      </c>
      <c r="M16" s="44"/>
    </row>
    <row r="17" spans="1:13" s="43" customFormat="1" ht="25.5" customHeight="1" x14ac:dyDescent="0.25">
      <c r="A17" s="143" t="s">
        <v>131</v>
      </c>
      <c r="B17" s="52" t="s">
        <v>161</v>
      </c>
      <c r="C17" s="143" t="s">
        <v>87</v>
      </c>
      <c r="D17" s="143" t="s">
        <v>162</v>
      </c>
      <c r="E17" s="51" t="s">
        <v>163</v>
      </c>
      <c r="F17" s="52">
        <v>1092</v>
      </c>
      <c r="G17" s="53">
        <v>2.79</v>
      </c>
      <c r="H17" s="53">
        <v>3.59</v>
      </c>
      <c r="I17" s="53">
        <v>3920.28</v>
      </c>
      <c r="J17" s="45">
        <v>5.3655523785177206E-3</v>
      </c>
      <c r="M17" s="44"/>
    </row>
    <row r="18" spans="1:13" s="43" customFormat="1" ht="13.2" x14ac:dyDescent="0.25">
      <c r="A18" s="142" t="s">
        <v>106</v>
      </c>
      <c r="B18" s="142"/>
      <c r="C18" s="142"/>
      <c r="D18" s="142" t="s">
        <v>164</v>
      </c>
      <c r="E18" s="142"/>
      <c r="F18" s="73"/>
      <c r="G18" s="142"/>
      <c r="H18" s="142"/>
      <c r="I18" s="74">
        <v>4016.34</v>
      </c>
      <c r="J18" s="75">
        <v>5.4970263960573886E-3</v>
      </c>
      <c r="M18" s="44"/>
    </row>
    <row r="19" spans="1:13" s="43" customFormat="1" ht="25.5" customHeight="1" x14ac:dyDescent="0.25">
      <c r="A19" s="143" t="s">
        <v>132</v>
      </c>
      <c r="B19" s="52" t="s">
        <v>165</v>
      </c>
      <c r="C19" s="143" t="s">
        <v>87</v>
      </c>
      <c r="D19" s="143" t="s">
        <v>166</v>
      </c>
      <c r="E19" s="51" t="s">
        <v>19</v>
      </c>
      <c r="F19" s="52">
        <v>90</v>
      </c>
      <c r="G19" s="53">
        <v>3.83</v>
      </c>
      <c r="H19" s="53">
        <v>4.93</v>
      </c>
      <c r="I19" s="53">
        <v>443.7</v>
      </c>
      <c r="J19" s="45">
        <v>6.0727692673694545E-4</v>
      </c>
      <c r="M19" s="44"/>
    </row>
    <row r="20" spans="1:13" s="43" customFormat="1" ht="13.2" x14ac:dyDescent="0.25">
      <c r="A20" s="143" t="s">
        <v>133</v>
      </c>
      <c r="B20" s="52" t="s">
        <v>167</v>
      </c>
      <c r="C20" s="143" t="s">
        <v>90</v>
      </c>
      <c r="D20" s="143" t="s">
        <v>168</v>
      </c>
      <c r="E20" s="51" t="s">
        <v>6</v>
      </c>
      <c r="F20" s="52">
        <v>108</v>
      </c>
      <c r="G20" s="53">
        <v>25.68</v>
      </c>
      <c r="H20" s="53">
        <v>33.08</v>
      </c>
      <c r="I20" s="53">
        <v>3572.64</v>
      </c>
      <c r="J20" s="45">
        <v>4.8897494693204433E-3</v>
      </c>
      <c r="M20" s="44"/>
    </row>
    <row r="21" spans="1:13" s="43" customFormat="1" ht="25.5" customHeight="1" x14ac:dyDescent="0.25">
      <c r="A21" s="142" t="s">
        <v>114</v>
      </c>
      <c r="B21" s="142"/>
      <c r="C21" s="142"/>
      <c r="D21" s="142" t="s">
        <v>169</v>
      </c>
      <c r="E21" s="142"/>
      <c r="F21" s="73"/>
      <c r="G21" s="142"/>
      <c r="H21" s="142"/>
      <c r="I21" s="74">
        <v>5097.21</v>
      </c>
      <c r="J21" s="75">
        <v>6.9763759831706689E-3</v>
      </c>
      <c r="M21" s="44"/>
    </row>
    <row r="22" spans="1:13" s="43" customFormat="1" ht="25.5" customHeight="1" x14ac:dyDescent="0.25">
      <c r="A22" s="143" t="s">
        <v>134</v>
      </c>
      <c r="B22" s="52" t="s">
        <v>170</v>
      </c>
      <c r="C22" s="143" t="s">
        <v>87</v>
      </c>
      <c r="D22" s="143" t="s">
        <v>171</v>
      </c>
      <c r="E22" s="51" t="s">
        <v>13</v>
      </c>
      <c r="F22" s="52">
        <v>767.55</v>
      </c>
      <c r="G22" s="53">
        <v>2.37</v>
      </c>
      <c r="H22" s="53">
        <v>3.05</v>
      </c>
      <c r="I22" s="53">
        <v>2341.0300000000002</v>
      </c>
      <c r="J22" s="45">
        <v>3.2040872296574068E-3</v>
      </c>
      <c r="M22" s="44"/>
    </row>
    <row r="23" spans="1:13" s="43" customFormat="1" ht="13.2" x14ac:dyDescent="0.25">
      <c r="A23" s="143" t="s">
        <v>135</v>
      </c>
      <c r="B23" s="52" t="s">
        <v>172</v>
      </c>
      <c r="C23" s="143" t="s">
        <v>128</v>
      </c>
      <c r="D23" s="143" t="s">
        <v>173</v>
      </c>
      <c r="E23" s="51" t="s">
        <v>174</v>
      </c>
      <c r="F23" s="52">
        <v>7</v>
      </c>
      <c r="G23" s="53">
        <v>305.64999999999998</v>
      </c>
      <c r="H23" s="53">
        <v>393.74</v>
      </c>
      <c r="I23" s="53">
        <v>2756.18</v>
      </c>
      <c r="J23" s="45">
        <v>3.7722887535132621E-3</v>
      </c>
      <c r="M23" s="44"/>
    </row>
    <row r="24" spans="1:13" s="43" customFormat="1" ht="25.5" customHeight="1" x14ac:dyDescent="0.25">
      <c r="A24" s="142" t="s">
        <v>115</v>
      </c>
      <c r="B24" s="142"/>
      <c r="C24" s="142"/>
      <c r="D24" s="142" t="s">
        <v>175</v>
      </c>
      <c r="E24" s="142"/>
      <c r="F24" s="73"/>
      <c r="G24" s="142"/>
      <c r="H24" s="142"/>
      <c r="I24" s="74">
        <v>80358.84</v>
      </c>
      <c r="J24" s="75">
        <v>0.10998437996697301</v>
      </c>
      <c r="M24" s="44"/>
    </row>
    <row r="25" spans="1:13" s="43" customFormat="1" ht="25.5" customHeight="1" x14ac:dyDescent="0.25">
      <c r="A25" s="143" t="s">
        <v>136</v>
      </c>
      <c r="B25" s="52" t="s">
        <v>176</v>
      </c>
      <c r="C25" s="143" t="s">
        <v>87</v>
      </c>
      <c r="D25" s="143" t="s">
        <v>177</v>
      </c>
      <c r="E25" s="51" t="s">
        <v>6</v>
      </c>
      <c r="F25" s="52">
        <v>100</v>
      </c>
      <c r="G25" s="53">
        <v>540.92999999999995</v>
      </c>
      <c r="H25" s="53">
        <v>696.83</v>
      </c>
      <c r="I25" s="53">
        <v>69683</v>
      </c>
      <c r="J25" s="45">
        <v>9.5372725007461287E-2</v>
      </c>
      <c r="M25" s="44"/>
    </row>
    <row r="26" spans="1:13" s="43" customFormat="1" ht="26.4" x14ac:dyDescent="0.25">
      <c r="A26" s="143" t="s">
        <v>137</v>
      </c>
      <c r="B26" s="52" t="s">
        <v>178</v>
      </c>
      <c r="C26" s="143" t="s">
        <v>87</v>
      </c>
      <c r="D26" s="143" t="s">
        <v>179</v>
      </c>
      <c r="E26" s="51" t="s">
        <v>126</v>
      </c>
      <c r="F26" s="52">
        <v>112</v>
      </c>
      <c r="G26" s="53">
        <v>71.89</v>
      </c>
      <c r="H26" s="53">
        <v>92.61</v>
      </c>
      <c r="I26" s="53">
        <v>10372.32</v>
      </c>
      <c r="J26" s="45">
        <v>1.4196237576588132E-2</v>
      </c>
      <c r="M26" s="44"/>
    </row>
    <row r="27" spans="1:13" s="43" customFormat="1" ht="25.5" customHeight="1" x14ac:dyDescent="0.25">
      <c r="A27" s="143" t="s">
        <v>138</v>
      </c>
      <c r="B27" s="52" t="s">
        <v>180</v>
      </c>
      <c r="C27" s="143" t="s">
        <v>87</v>
      </c>
      <c r="D27" s="143" t="s">
        <v>181</v>
      </c>
      <c r="E27" s="51" t="s">
        <v>126</v>
      </c>
      <c r="F27" s="52">
        <v>112</v>
      </c>
      <c r="G27" s="53">
        <v>2.1</v>
      </c>
      <c r="H27" s="53">
        <v>2.71</v>
      </c>
      <c r="I27" s="53">
        <v>303.52</v>
      </c>
      <c r="J27" s="45">
        <v>4.1541738292359183E-4</v>
      </c>
      <c r="M27" s="44"/>
    </row>
    <row r="28" spans="1:13" s="43" customFormat="1" ht="25.5" customHeight="1" x14ac:dyDescent="0.25">
      <c r="A28" s="142" t="s">
        <v>10</v>
      </c>
      <c r="B28" s="142"/>
      <c r="C28" s="142"/>
      <c r="D28" s="142" t="s">
        <v>182</v>
      </c>
      <c r="E28" s="142"/>
      <c r="F28" s="73"/>
      <c r="G28" s="142"/>
      <c r="H28" s="142"/>
      <c r="I28" s="74">
        <v>243022.11</v>
      </c>
      <c r="J28" s="75">
        <v>0.3326160020056973</v>
      </c>
      <c r="M28" s="44"/>
    </row>
    <row r="29" spans="1:13" s="43" customFormat="1" ht="25.5" customHeight="1" x14ac:dyDescent="0.25">
      <c r="A29" s="142" t="s">
        <v>11</v>
      </c>
      <c r="B29" s="142"/>
      <c r="C29" s="142"/>
      <c r="D29" s="142" t="s">
        <v>183</v>
      </c>
      <c r="E29" s="142"/>
      <c r="F29" s="73"/>
      <c r="G29" s="142"/>
      <c r="H29" s="142"/>
      <c r="I29" s="74">
        <v>9351.08</v>
      </c>
      <c r="J29" s="75">
        <v>1.2798501519205129E-2</v>
      </c>
      <c r="M29" s="44"/>
    </row>
    <row r="30" spans="1:13" s="43" customFormat="1" ht="25.5" customHeight="1" x14ac:dyDescent="0.25">
      <c r="A30" s="143" t="s">
        <v>139</v>
      </c>
      <c r="B30" s="52" t="s">
        <v>184</v>
      </c>
      <c r="C30" s="143" t="s">
        <v>1373</v>
      </c>
      <c r="D30" s="143" t="s">
        <v>185</v>
      </c>
      <c r="E30" s="51" t="s">
        <v>13</v>
      </c>
      <c r="F30" s="52">
        <v>120.12</v>
      </c>
      <c r="G30" s="53">
        <v>40.950000000000003</v>
      </c>
      <c r="H30" s="53">
        <v>52.75</v>
      </c>
      <c r="I30" s="53">
        <v>6336.33</v>
      </c>
      <c r="J30" s="45">
        <v>8.6723169014899931E-3</v>
      </c>
      <c r="M30" s="44"/>
    </row>
    <row r="31" spans="1:13" s="43" customFormat="1" ht="39.6" x14ac:dyDescent="0.25">
      <c r="A31" s="143" t="s">
        <v>140</v>
      </c>
      <c r="B31" s="52" t="s">
        <v>186</v>
      </c>
      <c r="C31" s="143" t="s">
        <v>87</v>
      </c>
      <c r="D31" s="143" t="s">
        <v>187</v>
      </c>
      <c r="E31" s="51" t="s">
        <v>13</v>
      </c>
      <c r="F31" s="52">
        <v>155</v>
      </c>
      <c r="G31" s="53">
        <v>15.1</v>
      </c>
      <c r="H31" s="53">
        <v>19.45</v>
      </c>
      <c r="I31" s="53">
        <v>3014.75</v>
      </c>
      <c r="J31" s="45">
        <v>4.1261846177151375E-3</v>
      </c>
      <c r="M31" s="44"/>
    </row>
    <row r="32" spans="1:13" s="43" customFormat="1" ht="13.2" x14ac:dyDescent="0.25">
      <c r="A32" s="142" t="s">
        <v>12</v>
      </c>
      <c r="B32" s="142"/>
      <c r="C32" s="142"/>
      <c r="D32" s="142" t="s">
        <v>188</v>
      </c>
      <c r="E32" s="142"/>
      <c r="F32" s="73"/>
      <c r="G32" s="142"/>
      <c r="H32" s="142"/>
      <c r="I32" s="74">
        <v>233671.03</v>
      </c>
      <c r="J32" s="75">
        <v>0.31981750048649221</v>
      </c>
      <c r="M32" s="44"/>
    </row>
    <row r="33" spans="1:13" s="43" customFormat="1" ht="25.5" customHeight="1" x14ac:dyDescent="0.25">
      <c r="A33" s="143" t="s">
        <v>141</v>
      </c>
      <c r="B33" s="52">
        <v>94307</v>
      </c>
      <c r="C33" s="143" t="s">
        <v>87</v>
      </c>
      <c r="D33" s="143" t="s">
        <v>190</v>
      </c>
      <c r="E33" s="51" t="s">
        <v>13</v>
      </c>
      <c r="F33" s="52">
        <v>2735.85</v>
      </c>
      <c r="G33" s="53">
        <v>58.7</v>
      </c>
      <c r="H33" s="53">
        <v>75.62</v>
      </c>
      <c r="I33" s="53">
        <v>206884.98</v>
      </c>
      <c r="J33" s="45">
        <v>0.28315635529058919</v>
      </c>
      <c r="M33" s="44"/>
    </row>
    <row r="34" spans="1:13" s="43" customFormat="1" ht="25.5" customHeight="1" x14ac:dyDescent="0.25">
      <c r="A34" s="143" t="s">
        <v>142</v>
      </c>
      <c r="B34" s="52" t="s">
        <v>191</v>
      </c>
      <c r="C34" s="143" t="s">
        <v>87</v>
      </c>
      <c r="D34" s="143" t="s">
        <v>192</v>
      </c>
      <c r="E34" s="51" t="s">
        <v>13</v>
      </c>
      <c r="F34" s="52">
        <v>2735.85</v>
      </c>
      <c r="G34" s="53">
        <v>1.36</v>
      </c>
      <c r="H34" s="53">
        <v>1.75</v>
      </c>
      <c r="I34" s="53">
        <v>4787.74</v>
      </c>
      <c r="J34" s="45">
        <v>6.55281503992685E-3</v>
      </c>
      <c r="M34" s="44"/>
    </row>
    <row r="35" spans="1:13" s="43" customFormat="1" ht="25.5" customHeight="1" x14ac:dyDescent="0.25">
      <c r="A35" s="143" t="s">
        <v>143</v>
      </c>
      <c r="B35" s="52" t="s">
        <v>193</v>
      </c>
      <c r="C35" s="143" t="s">
        <v>87</v>
      </c>
      <c r="D35" s="143" t="s">
        <v>194</v>
      </c>
      <c r="E35" s="51" t="s">
        <v>13</v>
      </c>
      <c r="F35" s="52">
        <v>2735.85</v>
      </c>
      <c r="G35" s="53">
        <v>5.23</v>
      </c>
      <c r="H35" s="53">
        <v>6.74</v>
      </c>
      <c r="I35" s="53">
        <v>18439.63</v>
      </c>
      <c r="J35" s="45">
        <v>2.5237687258432232E-2</v>
      </c>
      <c r="M35" s="44"/>
    </row>
    <row r="36" spans="1:13" s="43" customFormat="1" ht="39.6" x14ac:dyDescent="0.25">
      <c r="A36" s="143" t="s">
        <v>144</v>
      </c>
      <c r="B36" s="52" t="s">
        <v>159</v>
      </c>
      <c r="C36" s="143" t="s">
        <v>87</v>
      </c>
      <c r="D36" s="143" t="s">
        <v>160</v>
      </c>
      <c r="E36" s="51" t="s">
        <v>13</v>
      </c>
      <c r="F36" s="52">
        <v>357.66</v>
      </c>
      <c r="G36" s="53">
        <v>2.15</v>
      </c>
      <c r="H36" s="53">
        <v>2.77</v>
      </c>
      <c r="I36" s="53">
        <v>990.72</v>
      </c>
      <c r="J36" s="45">
        <v>1.3559643832698367E-3</v>
      </c>
      <c r="M36" s="44"/>
    </row>
    <row r="37" spans="1:13" s="43" customFormat="1" ht="25.5" customHeight="1" x14ac:dyDescent="0.25">
      <c r="A37" s="143" t="s">
        <v>145</v>
      </c>
      <c r="B37" s="52" t="s">
        <v>161</v>
      </c>
      <c r="C37" s="143" t="s">
        <v>87</v>
      </c>
      <c r="D37" s="143" t="s">
        <v>162</v>
      </c>
      <c r="E37" s="51" t="s">
        <v>163</v>
      </c>
      <c r="F37" s="52">
        <v>715.31</v>
      </c>
      <c r="G37" s="53">
        <v>2.79</v>
      </c>
      <c r="H37" s="53">
        <v>3.59</v>
      </c>
      <c r="I37" s="53">
        <v>2567.96</v>
      </c>
      <c r="J37" s="45">
        <v>3.5146785142740737E-3</v>
      </c>
      <c r="M37" s="44"/>
    </row>
    <row r="38" spans="1:13" s="43" customFormat="1" ht="25.5" customHeight="1" x14ac:dyDescent="0.25">
      <c r="A38" s="142" t="s">
        <v>14</v>
      </c>
      <c r="B38" s="142"/>
      <c r="C38" s="142"/>
      <c r="D38" s="142" t="s">
        <v>195</v>
      </c>
      <c r="E38" s="142"/>
      <c r="F38" s="73"/>
      <c r="G38" s="142"/>
      <c r="H38" s="142"/>
      <c r="I38" s="74">
        <v>166441.31</v>
      </c>
      <c r="J38" s="75">
        <v>0.22780249542229261</v>
      </c>
      <c r="M38" s="44"/>
    </row>
    <row r="39" spans="1:13" s="43" customFormat="1" ht="13.2" x14ac:dyDescent="0.25">
      <c r="A39" s="142" t="s">
        <v>15</v>
      </c>
      <c r="B39" s="142"/>
      <c r="C39" s="142"/>
      <c r="D39" s="142" t="s">
        <v>196</v>
      </c>
      <c r="E39" s="142"/>
      <c r="F39" s="73"/>
      <c r="G39" s="142"/>
      <c r="H39" s="142"/>
      <c r="I39" s="74">
        <v>8483.8799999999992</v>
      </c>
      <c r="J39" s="75">
        <v>1.161159471085201E-2</v>
      </c>
      <c r="M39" s="44"/>
    </row>
    <row r="40" spans="1:13" s="43" customFormat="1" ht="39.6" x14ac:dyDescent="0.25">
      <c r="A40" s="143" t="s">
        <v>119</v>
      </c>
      <c r="B40" s="52" t="s">
        <v>197</v>
      </c>
      <c r="C40" s="143" t="s">
        <v>87</v>
      </c>
      <c r="D40" s="143" t="s">
        <v>198</v>
      </c>
      <c r="E40" s="51" t="s">
        <v>13</v>
      </c>
      <c r="F40" s="52">
        <v>65.209999999999994</v>
      </c>
      <c r="G40" s="53">
        <v>86.61</v>
      </c>
      <c r="H40" s="53">
        <v>111.57</v>
      </c>
      <c r="I40" s="53">
        <v>7275.48</v>
      </c>
      <c r="J40" s="45">
        <v>9.9576991997658588E-3</v>
      </c>
      <c r="M40" s="44"/>
    </row>
    <row r="41" spans="1:13" s="43" customFormat="1" ht="25.5" customHeight="1" x14ac:dyDescent="0.25">
      <c r="A41" s="143" t="s">
        <v>120</v>
      </c>
      <c r="B41" s="52" t="s">
        <v>199</v>
      </c>
      <c r="C41" s="143" t="s">
        <v>87</v>
      </c>
      <c r="D41" s="143" t="s">
        <v>200</v>
      </c>
      <c r="E41" s="51" t="s">
        <v>13</v>
      </c>
      <c r="F41" s="52">
        <v>4.25</v>
      </c>
      <c r="G41" s="53">
        <v>115.52</v>
      </c>
      <c r="H41" s="53">
        <v>148.81</v>
      </c>
      <c r="I41" s="53">
        <v>632.44000000000005</v>
      </c>
      <c r="J41" s="45">
        <v>8.6559887208815362E-4</v>
      </c>
      <c r="M41" s="44"/>
    </row>
    <row r="42" spans="1:13" s="43" customFormat="1" ht="25.5" customHeight="1" x14ac:dyDescent="0.25">
      <c r="A42" s="143" t="s">
        <v>121</v>
      </c>
      <c r="B42" s="52" t="s">
        <v>201</v>
      </c>
      <c r="C42" s="143" t="s">
        <v>87</v>
      </c>
      <c r="D42" s="143" t="s">
        <v>202</v>
      </c>
      <c r="E42" s="51" t="s">
        <v>6</v>
      </c>
      <c r="F42" s="52">
        <v>17</v>
      </c>
      <c r="G42" s="53">
        <v>26.3</v>
      </c>
      <c r="H42" s="53">
        <v>33.880000000000003</v>
      </c>
      <c r="I42" s="53">
        <v>575.96</v>
      </c>
      <c r="J42" s="45">
        <v>7.8829663899799662E-4</v>
      </c>
      <c r="M42" s="44"/>
    </row>
    <row r="43" spans="1:13" s="43" customFormat="1" ht="25.5" customHeight="1" x14ac:dyDescent="0.25">
      <c r="A43" s="142" t="s">
        <v>17</v>
      </c>
      <c r="B43" s="142"/>
      <c r="C43" s="142"/>
      <c r="D43" s="142" t="s">
        <v>203</v>
      </c>
      <c r="E43" s="142"/>
      <c r="F43" s="73"/>
      <c r="G43" s="142"/>
      <c r="H43" s="142"/>
      <c r="I43" s="74">
        <v>115788.26</v>
      </c>
      <c r="J43" s="75">
        <v>0.1584754083502781</v>
      </c>
      <c r="M43" s="44"/>
    </row>
    <row r="44" spans="1:13" s="43" customFormat="1" ht="26.4" x14ac:dyDescent="0.25">
      <c r="A44" s="143" t="s">
        <v>324</v>
      </c>
      <c r="B44" s="52" t="s">
        <v>383</v>
      </c>
      <c r="C44" s="143" t="s">
        <v>326</v>
      </c>
      <c r="D44" s="143" t="s">
        <v>384</v>
      </c>
      <c r="E44" s="51" t="s">
        <v>19</v>
      </c>
      <c r="F44" s="52">
        <v>14</v>
      </c>
      <c r="G44" s="53">
        <v>6420.27</v>
      </c>
      <c r="H44" s="53">
        <v>8270.59</v>
      </c>
      <c r="I44" s="53">
        <v>115788.26</v>
      </c>
      <c r="J44" s="45">
        <v>0.1584754083502781</v>
      </c>
      <c r="M44" s="44"/>
    </row>
    <row r="45" spans="1:13" s="43" customFormat="1" ht="13.2" x14ac:dyDescent="0.25">
      <c r="A45" s="142" t="s">
        <v>204</v>
      </c>
      <c r="B45" s="142"/>
      <c r="C45" s="142"/>
      <c r="D45" s="142" t="s">
        <v>205</v>
      </c>
      <c r="E45" s="142"/>
      <c r="F45" s="73"/>
      <c r="G45" s="142"/>
      <c r="H45" s="142"/>
      <c r="I45" s="74">
        <v>9851.5499999999993</v>
      </c>
      <c r="J45" s="75">
        <v>1.3483477592056243E-2</v>
      </c>
      <c r="M45" s="44"/>
    </row>
    <row r="46" spans="1:13" s="43" customFormat="1" ht="39.6" x14ac:dyDescent="0.25">
      <c r="A46" s="143" t="s">
        <v>206</v>
      </c>
      <c r="B46" s="52" t="s">
        <v>207</v>
      </c>
      <c r="C46" s="143" t="s">
        <v>87</v>
      </c>
      <c r="D46" s="143" t="s">
        <v>208</v>
      </c>
      <c r="E46" s="51" t="s">
        <v>6</v>
      </c>
      <c r="F46" s="52">
        <v>12.82</v>
      </c>
      <c r="G46" s="53">
        <v>211.58</v>
      </c>
      <c r="H46" s="53">
        <v>272.56</v>
      </c>
      <c r="I46" s="53">
        <v>3494.22</v>
      </c>
      <c r="J46" s="45">
        <v>4.7824187129654489E-3</v>
      </c>
      <c r="M46" s="44"/>
    </row>
    <row r="47" spans="1:13" s="43" customFormat="1" ht="13.2" x14ac:dyDescent="0.25">
      <c r="A47" s="143" t="s">
        <v>209</v>
      </c>
      <c r="B47" s="52" t="s">
        <v>91</v>
      </c>
      <c r="C47" s="143" t="s">
        <v>1373</v>
      </c>
      <c r="D47" s="143" t="s">
        <v>20</v>
      </c>
      <c r="E47" s="51" t="s">
        <v>118</v>
      </c>
      <c r="F47" s="52">
        <v>52.8</v>
      </c>
      <c r="G47" s="53">
        <v>14.23</v>
      </c>
      <c r="H47" s="53">
        <v>18.329999999999998</v>
      </c>
      <c r="I47" s="53">
        <v>967.82</v>
      </c>
      <c r="J47" s="45">
        <v>1.3246219410289622E-3</v>
      </c>
      <c r="M47" s="44"/>
    </row>
    <row r="48" spans="1:13" s="43" customFormat="1" ht="13.2" x14ac:dyDescent="0.25">
      <c r="A48" s="143" t="s">
        <v>210</v>
      </c>
      <c r="B48" s="52" t="s">
        <v>89</v>
      </c>
      <c r="C48" s="143" t="s">
        <v>1373</v>
      </c>
      <c r="D48" s="143" t="s">
        <v>16</v>
      </c>
      <c r="E48" s="51" t="s">
        <v>118</v>
      </c>
      <c r="F48" s="52">
        <v>98.14</v>
      </c>
      <c r="G48" s="53">
        <v>10.93</v>
      </c>
      <c r="H48" s="53">
        <v>14.08</v>
      </c>
      <c r="I48" s="53">
        <v>1381.81</v>
      </c>
      <c r="J48" s="45">
        <v>1.8912358127887731E-3</v>
      </c>
      <c r="M48" s="44"/>
    </row>
    <row r="49" spans="1:13" s="43" customFormat="1" ht="13.2" x14ac:dyDescent="0.25">
      <c r="A49" s="143" t="s">
        <v>211</v>
      </c>
      <c r="B49" s="52" t="s">
        <v>212</v>
      </c>
      <c r="C49" s="143" t="s">
        <v>1373</v>
      </c>
      <c r="D49" s="143" t="s">
        <v>213</v>
      </c>
      <c r="E49" s="51" t="s">
        <v>13</v>
      </c>
      <c r="F49" s="52">
        <v>5.84</v>
      </c>
      <c r="G49" s="53">
        <v>532.72</v>
      </c>
      <c r="H49" s="53">
        <v>686.25</v>
      </c>
      <c r="I49" s="53">
        <v>4007.7</v>
      </c>
      <c r="J49" s="45">
        <v>5.4852011252730587E-3</v>
      </c>
      <c r="M49" s="44"/>
    </row>
    <row r="50" spans="1:13" s="43" customFormat="1" ht="13.2" x14ac:dyDescent="0.25">
      <c r="A50" s="142" t="s">
        <v>214</v>
      </c>
      <c r="B50" s="142"/>
      <c r="C50" s="142"/>
      <c r="D50" s="142" t="s">
        <v>215</v>
      </c>
      <c r="E50" s="142"/>
      <c r="F50" s="73"/>
      <c r="G50" s="142"/>
      <c r="H50" s="142"/>
      <c r="I50" s="74">
        <v>32317.62</v>
      </c>
      <c r="J50" s="75">
        <v>4.4232014769106251E-2</v>
      </c>
      <c r="M50" s="44"/>
    </row>
    <row r="51" spans="1:13" s="43" customFormat="1" ht="39.6" x14ac:dyDescent="0.25">
      <c r="A51" s="143" t="s">
        <v>216</v>
      </c>
      <c r="B51" s="52" t="s">
        <v>217</v>
      </c>
      <c r="C51" s="143" t="s">
        <v>87</v>
      </c>
      <c r="D51" s="143" t="s">
        <v>218</v>
      </c>
      <c r="E51" s="51" t="s">
        <v>19</v>
      </c>
      <c r="F51" s="52">
        <v>24</v>
      </c>
      <c r="G51" s="53">
        <v>57.47</v>
      </c>
      <c r="H51" s="53">
        <v>74.03</v>
      </c>
      <c r="I51" s="53">
        <v>1776.72</v>
      </c>
      <c r="J51" s="45">
        <v>2.4317355448998552E-3</v>
      </c>
      <c r="M51" s="44"/>
    </row>
    <row r="52" spans="1:13" s="43" customFormat="1" ht="13.2" x14ac:dyDescent="0.25">
      <c r="A52" s="143" t="s">
        <v>219</v>
      </c>
      <c r="B52" s="52" t="s">
        <v>220</v>
      </c>
      <c r="C52" s="143" t="s">
        <v>1373</v>
      </c>
      <c r="D52" s="143" t="s">
        <v>221</v>
      </c>
      <c r="E52" s="51" t="s">
        <v>6</v>
      </c>
      <c r="F52" s="52">
        <v>18</v>
      </c>
      <c r="G52" s="53">
        <v>141.32</v>
      </c>
      <c r="H52" s="53">
        <v>182.05</v>
      </c>
      <c r="I52" s="53">
        <v>3276.9</v>
      </c>
      <c r="J52" s="45">
        <v>4.4849803047651493E-3</v>
      </c>
      <c r="M52" s="44"/>
    </row>
    <row r="53" spans="1:13" s="43" customFormat="1" ht="13.2" x14ac:dyDescent="0.25">
      <c r="A53" s="143" t="s">
        <v>222</v>
      </c>
      <c r="B53" s="52" t="s">
        <v>327</v>
      </c>
      <c r="C53" s="143" t="s">
        <v>87</v>
      </c>
      <c r="D53" s="143" t="s">
        <v>328</v>
      </c>
      <c r="E53" s="51" t="s">
        <v>28</v>
      </c>
      <c r="F53" s="52">
        <v>109.76</v>
      </c>
      <c r="G53" s="53">
        <v>9.76</v>
      </c>
      <c r="H53" s="53">
        <v>12.57</v>
      </c>
      <c r="I53" s="53">
        <v>1379.68</v>
      </c>
      <c r="J53" s="45">
        <v>1.8883205550606916E-3</v>
      </c>
      <c r="M53" s="44"/>
    </row>
    <row r="54" spans="1:13" s="43" customFormat="1" ht="13.2" x14ac:dyDescent="0.25">
      <c r="A54" s="143" t="s">
        <v>223</v>
      </c>
      <c r="B54" s="52" t="s">
        <v>329</v>
      </c>
      <c r="C54" s="143" t="s">
        <v>87</v>
      </c>
      <c r="D54" s="143" t="s">
        <v>330</v>
      </c>
      <c r="E54" s="51" t="s">
        <v>28</v>
      </c>
      <c r="F54" s="52">
        <v>99.26</v>
      </c>
      <c r="G54" s="53">
        <v>9.48</v>
      </c>
      <c r="H54" s="53">
        <v>12.21</v>
      </c>
      <c r="I54" s="53">
        <v>1211.96</v>
      </c>
      <c r="J54" s="45">
        <v>1.6587679606222862E-3</v>
      </c>
      <c r="M54" s="44"/>
    </row>
    <row r="55" spans="1:13" s="43" customFormat="1" ht="13.2" x14ac:dyDescent="0.25">
      <c r="A55" s="143" t="s">
        <v>224</v>
      </c>
      <c r="B55" s="52" t="s">
        <v>331</v>
      </c>
      <c r="C55" s="143" t="s">
        <v>87</v>
      </c>
      <c r="D55" s="143" t="s">
        <v>332</v>
      </c>
      <c r="E55" s="51" t="s">
        <v>28</v>
      </c>
      <c r="F55" s="52">
        <v>236.19</v>
      </c>
      <c r="G55" s="53">
        <v>10.24</v>
      </c>
      <c r="H55" s="53">
        <v>13.19</v>
      </c>
      <c r="I55" s="53">
        <v>3115.35</v>
      </c>
      <c r="J55" s="45">
        <v>4.2638723770789793E-3</v>
      </c>
      <c r="M55" s="44"/>
    </row>
    <row r="56" spans="1:13" s="43" customFormat="1" ht="13.2" x14ac:dyDescent="0.25">
      <c r="A56" s="143" t="s">
        <v>227</v>
      </c>
      <c r="B56" s="52" t="s">
        <v>212</v>
      </c>
      <c r="C56" s="143" t="s">
        <v>1373</v>
      </c>
      <c r="D56" s="143" t="s">
        <v>213</v>
      </c>
      <c r="E56" s="51" t="s">
        <v>13</v>
      </c>
      <c r="F56" s="52">
        <v>12</v>
      </c>
      <c r="G56" s="53">
        <v>532.72</v>
      </c>
      <c r="H56" s="53">
        <v>686.25</v>
      </c>
      <c r="I56" s="53">
        <v>8235</v>
      </c>
      <c r="J56" s="45">
        <v>1.1270961216314506E-2</v>
      </c>
      <c r="M56" s="44"/>
    </row>
    <row r="57" spans="1:13" s="43" customFormat="1" ht="13.2" x14ac:dyDescent="0.25">
      <c r="A57" s="143" t="s">
        <v>230</v>
      </c>
      <c r="B57" s="52" t="s">
        <v>225</v>
      </c>
      <c r="C57" s="143" t="s">
        <v>1373</v>
      </c>
      <c r="D57" s="143" t="s">
        <v>226</v>
      </c>
      <c r="E57" s="51" t="s">
        <v>6</v>
      </c>
      <c r="F57" s="52">
        <v>12</v>
      </c>
      <c r="G57" s="53">
        <v>110.21</v>
      </c>
      <c r="H57" s="53">
        <v>141.97</v>
      </c>
      <c r="I57" s="53">
        <v>1703.64</v>
      </c>
      <c r="J57" s="45">
        <v>2.3317134628490642E-3</v>
      </c>
      <c r="M57" s="44"/>
    </row>
    <row r="58" spans="1:13" s="43" customFormat="1" ht="39.6" x14ac:dyDescent="0.25">
      <c r="A58" s="143" t="s">
        <v>233</v>
      </c>
      <c r="B58" s="52" t="s">
        <v>228</v>
      </c>
      <c r="C58" s="143" t="s">
        <v>87</v>
      </c>
      <c r="D58" s="143" t="s">
        <v>229</v>
      </c>
      <c r="E58" s="51" t="s">
        <v>13</v>
      </c>
      <c r="F58" s="52">
        <v>2.96</v>
      </c>
      <c r="G58" s="53">
        <v>447.66</v>
      </c>
      <c r="H58" s="53">
        <v>576.67999999999995</v>
      </c>
      <c r="I58" s="53">
        <v>1706.97</v>
      </c>
      <c r="J58" s="45">
        <v>2.3362711192971915E-3</v>
      </c>
      <c r="M58" s="44"/>
    </row>
    <row r="59" spans="1:13" s="43" customFormat="1" ht="26.4" x14ac:dyDescent="0.25">
      <c r="A59" s="143" t="s">
        <v>236</v>
      </c>
      <c r="B59" s="52" t="s">
        <v>231</v>
      </c>
      <c r="C59" s="143" t="s">
        <v>87</v>
      </c>
      <c r="D59" s="143" t="s">
        <v>232</v>
      </c>
      <c r="E59" s="51" t="s">
        <v>6</v>
      </c>
      <c r="F59" s="52">
        <v>39.200000000000003</v>
      </c>
      <c r="G59" s="53">
        <v>45.56</v>
      </c>
      <c r="H59" s="53">
        <v>58.69</v>
      </c>
      <c r="I59" s="53">
        <v>2300.65</v>
      </c>
      <c r="J59" s="45">
        <v>3.1488205127278646E-3</v>
      </c>
      <c r="M59" s="44"/>
    </row>
    <row r="60" spans="1:13" s="43" customFormat="1" ht="39.6" x14ac:dyDescent="0.25">
      <c r="A60" s="143" t="s">
        <v>239</v>
      </c>
      <c r="B60" s="52" t="s">
        <v>234</v>
      </c>
      <c r="C60" s="143" t="s">
        <v>87</v>
      </c>
      <c r="D60" s="143" t="s">
        <v>235</v>
      </c>
      <c r="E60" s="51" t="s">
        <v>13</v>
      </c>
      <c r="F60" s="52">
        <v>1.01</v>
      </c>
      <c r="G60" s="53">
        <v>3652.03</v>
      </c>
      <c r="H60" s="53">
        <v>4704.55</v>
      </c>
      <c r="I60" s="53">
        <v>4751.6000000000004</v>
      </c>
      <c r="J60" s="45">
        <v>6.5033514651414697E-3</v>
      </c>
      <c r="M60" s="44"/>
    </row>
    <row r="61" spans="1:13" s="43" customFormat="1" ht="52.8" x14ac:dyDescent="0.25">
      <c r="A61" s="143" t="s">
        <v>333</v>
      </c>
      <c r="B61" s="52" t="s">
        <v>237</v>
      </c>
      <c r="C61" s="143" t="s">
        <v>87</v>
      </c>
      <c r="D61" s="143" t="s">
        <v>238</v>
      </c>
      <c r="E61" s="51" t="s">
        <v>13</v>
      </c>
      <c r="F61" s="52">
        <v>2.02</v>
      </c>
      <c r="G61" s="53">
        <v>437.52</v>
      </c>
      <c r="H61" s="53">
        <v>563.61</v>
      </c>
      <c r="I61" s="53">
        <v>1138.49</v>
      </c>
      <c r="J61" s="45">
        <v>1.5582120989874803E-3</v>
      </c>
      <c r="M61" s="44"/>
    </row>
    <row r="62" spans="1:13" s="43" customFormat="1" ht="26.4" x14ac:dyDescent="0.25">
      <c r="A62" s="143" t="s">
        <v>334</v>
      </c>
      <c r="B62" s="52" t="s">
        <v>240</v>
      </c>
      <c r="C62" s="143" t="s">
        <v>87</v>
      </c>
      <c r="D62" s="143" t="s">
        <v>241</v>
      </c>
      <c r="E62" s="51" t="s">
        <v>6</v>
      </c>
      <c r="F62" s="52">
        <v>100.8</v>
      </c>
      <c r="G62" s="53">
        <v>13.25</v>
      </c>
      <c r="H62" s="53">
        <v>17.07</v>
      </c>
      <c r="I62" s="53">
        <v>1720.66</v>
      </c>
      <c r="J62" s="45">
        <v>2.355008151361714E-3</v>
      </c>
      <c r="M62" s="44"/>
    </row>
    <row r="63" spans="1:13" s="43" customFormat="1" ht="13.2" x14ac:dyDescent="0.25">
      <c r="A63" s="142" t="s">
        <v>242</v>
      </c>
      <c r="B63" s="142"/>
      <c r="C63" s="142"/>
      <c r="D63" s="142" t="s">
        <v>243</v>
      </c>
      <c r="E63" s="142"/>
      <c r="F63" s="73"/>
      <c r="G63" s="142"/>
      <c r="H63" s="142"/>
      <c r="I63" s="74">
        <v>157861.96</v>
      </c>
      <c r="J63" s="75">
        <v>0.21606023420660495</v>
      </c>
      <c r="M63" s="44"/>
    </row>
    <row r="64" spans="1:13" s="43" customFormat="1" ht="52.8" x14ac:dyDescent="0.25">
      <c r="A64" s="143" t="s">
        <v>244</v>
      </c>
      <c r="B64" s="52" t="s">
        <v>245</v>
      </c>
      <c r="C64" s="143" t="s">
        <v>87</v>
      </c>
      <c r="D64" s="143" t="s">
        <v>246</v>
      </c>
      <c r="E64" s="51" t="s">
        <v>19</v>
      </c>
      <c r="F64" s="52">
        <v>86</v>
      </c>
      <c r="G64" s="53">
        <v>51.51</v>
      </c>
      <c r="H64" s="53">
        <v>66.36</v>
      </c>
      <c r="I64" s="53">
        <v>5706.96</v>
      </c>
      <c r="J64" s="45">
        <v>7.8109198327939557E-3</v>
      </c>
      <c r="M64" s="44"/>
    </row>
    <row r="65" spans="1:13" s="43" customFormat="1" ht="25.5" customHeight="1" x14ac:dyDescent="0.25">
      <c r="A65" s="143" t="s">
        <v>247</v>
      </c>
      <c r="B65" s="52" t="s">
        <v>248</v>
      </c>
      <c r="C65" s="143" t="s">
        <v>87</v>
      </c>
      <c r="D65" s="143" t="s">
        <v>249</v>
      </c>
      <c r="E65" s="51" t="s">
        <v>6</v>
      </c>
      <c r="F65" s="52">
        <v>87.15</v>
      </c>
      <c r="G65" s="53">
        <v>1.1599999999999999</v>
      </c>
      <c r="H65" s="53">
        <v>1.49</v>
      </c>
      <c r="I65" s="53">
        <v>129.85</v>
      </c>
      <c r="J65" s="45">
        <v>1.7772122816495914E-4</v>
      </c>
      <c r="M65" s="44"/>
    </row>
    <row r="66" spans="1:13" s="43" customFormat="1" ht="25.5" customHeight="1" x14ac:dyDescent="0.25">
      <c r="A66" s="143" t="s">
        <v>250</v>
      </c>
      <c r="B66" s="52" t="s">
        <v>251</v>
      </c>
      <c r="C66" s="143" t="s">
        <v>87</v>
      </c>
      <c r="D66" s="143" t="s">
        <v>252</v>
      </c>
      <c r="E66" s="51" t="s">
        <v>13</v>
      </c>
      <c r="F66" s="52">
        <v>119.25</v>
      </c>
      <c r="G66" s="53">
        <v>121.74</v>
      </c>
      <c r="H66" s="53">
        <v>156.83000000000001</v>
      </c>
      <c r="I66" s="53">
        <v>18701.98</v>
      </c>
      <c r="J66" s="45">
        <v>2.5596756678602253E-2</v>
      </c>
      <c r="M66" s="44"/>
    </row>
    <row r="67" spans="1:13" s="43" customFormat="1" ht="25.5" customHeight="1" x14ac:dyDescent="0.25">
      <c r="A67" s="143" t="s">
        <v>253</v>
      </c>
      <c r="B67" s="52" t="s">
        <v>335</v>
      </c>
      <c r="C67" s="143" t="s">
        <v>1373</v>
      </c>
      <c r="D67" s="143" t="s">
        <v>122</v>
      </c>
      <c r="E67" s="51" t="s">
        <v>6</v>
      </c>
      <c r="F67" s="52">
        <v>795</v>
      </c>
      <c r="G67" s="53">
        <v>14.38</v>
      </c>
      <c r="H67" s="53">
        <v>18.52</v>
      </c>
      <c r="I67" s="53">
        <v>14723.4</v>
      </c>
      <c r="J67" s="45">
        <v>2.0151411095602305E-2</v>
      </c>
      <c r="M67" s="44"/>
    </row>
    <row r="68" spans="1:13" s="43" customFormat="1" ht="26.4" x14ac:dyDescent="0.25">
      <c r="A68" s="143" t="s">
        <v>256</v>
      </c>
      <c r="B68" s="52" t="s">
        <v>336</v>
      </c>
      <c r="C68" s="143" t="s">
        <v>87</v>
      </c>
      <c r="D68" s="143" t="s">
        <v>297</v>
      </c>
      <c r="E68" s="51" t="s">
        <v>6</v>
      </c>
      <c r="F68" s="52">
        <v>795</v>
      </c>
      <c r="G68" s="53">
        <v>2.89</v>
      </c>
      <c r="H68" s="53">
        <v>3.72</v>
      </c>
      <c r="I68" s="53">
        <v>2957.4</v>
      </c>
      <c r="J68" s="45">
        <v>4.047691645552947E-3</v>
      </c>
      <c r="M68" s="44"/>
    </row>
    <row r="69" spans="1:13" s="43" customFormat="1" ht="39.6" x14ac:dyDescent="0.25">
      <c r="A69" s="143" t="s">
        <v>259</v>
      </c>
      <c r="B69" s="52" t="s">
        <v>337</v>
      </c>
      <c r="C69" s="143" t="s">
        <v>87</v>
      </c>
      <c r="D69" s="143" t="s">
        <v>298</v>
      </c>
      <c r="E69" s="51" t="s">
        <v>13</v>
      </c>
      <c r="F69" s="52">
        <v>31.8</v>
      </c>
      <c r="G69" s="53">
        <v>1260.3900000000001</v>
      </c>
      <c r="H69" s="53">
        <v>1623.63</v>
      </c>
      <c r="I69" s="53">
        <v>51631.43</v>
      </c>
      <c r="J69" s="45">
        <v>7.0666162121779869E-2</v>
      </c>
      <c r="M69" s="44"/>
    </row>
    <row r="70" spans="1:13" s="43" customFormat="1" ht="39.6" x14ac:dyDescent="0.25">
      <c r="A70" s="143" t="s">
        <v>338</v>
      </c>
      <c r="B70" s="52" t="s">
        <v>339</v>
      </c>
      <c r="C70" s="143" t="s">
        <v>87</v>
      </c>
      <c r="D70" s="143" t="s">
        <v>299</v>
      </c>
      <c r="E70" s="51" t="s">
        <v>13</v>
      </c>
      <c r="F70" s="52">
        <v>23.85</v>
      </c>
      <c r="G70" s="53">
        <v>1458.79</v>
      </c>
      <c r="H70" s="53">
        <v>1879.21</v>
      </c>
      <c r="I70" s="53">
        <v>44819.16</v>
      </c>
      <c r="J70" s="45">
        <v>6.1342442514607701E-2</v>
      </c>
      <c r="M70" s="44"/>
    </row>
    <row r="71" spans="1:13" s="43" customFormat="1" ht="52.8" x14ac:dyDescent="0.25">
      <c r="A71" s="143" t="s">
        <v>340</v>
      </c>
      <c r="B71" s="52" t="s">
        <v>257</v>
      </c>
      <c r="C71" s="143" t="s">
        <v>87</v>
      </c>
      <c r="D71" s="143" t="s">
        <v>258</v>
      </c>
      <c r="E71" s="51" t="s">
        <v>13</v>
      </c>
      <c r="F71" s="52">
        <v>174.9</v>
      </c>
      <c r="G71" s="53">
        <v>8.33</v>
      </c>
      <c r="H71" s="53">
        <v>10.73</v>
      </c>
      <c r="I71" s="53">
        <v>1876.68</v>
      </c>
      <c r="J71" s="45">
        <v>2.5685473582796729E-3</v>
      </c>
      <c r="M71" s="44"/>
    </row>
    <row r="72" spans="1:13" s="43" customFormat="1" ht="26.4" x14ac:dyDescent="0.25">
      <c r="A72" s="143" t="s">
        <v>341</v>
      </c>
      <c r="B72" s="52" t="s">
        <v>260</v>
      </c>
      <c r="C72" s="143" t="s">
        <v>87</v>
      </c>
      <c r="D72" s="143" t="s">
        <v>261</v>
      </c>
      <c r="E72" s="51" t="s">
        <v>163</v>
      </c>
      <c r="F72" s="52">
        <v>10494</v>
      </c>
      <c r="G72" s="53">
        <v>1.28</v>
      </c>
      <c r="H72" s="53">
        <v>1.65</v>
      </c>
      <c r="I72" s="53">
        <v>17315.099999999999</v>
      </c>
      <c r="J72" s="45">
        <v>2.3698581731221285E-2</v>
      </c>
      <c r="M72" s="44"/>
    </row>
    <row r="73" spans="1:13" s="43" customFormat="1" ht="25.5" customHeight="1" x14ac:dyDescent="0.25">
      <c r="A73" s="142" t="s">
        <v>262</v>
      </c>
      <c r="B73" s="142"/>
      <c r="C73" s="142"/>
      <c r="D73" s="142" t="s">
        <v>323</v>
      </c>
      <c r="E73" s="142"/>
      <c r="F73" s="73"/>
      <c r="G73" s="142"/>
      <c r="H73" s="142"/>
      <c r="I73" s="74">
        <v>40101.21</v>
      </c>
      <c r="J73" s="75">
        <v>5.4885146646907516E-2</v>
      </c>
      <c r="M73" s="44"/>
    </row>
    <row r="74" spans="1:13" s="43" customFormat="1" ht="25.5" customHeight="1" x14ac:dyDescent="0.25">
      <c r="A74" s="143" t="s">
        <v>263</v>
      </c>
      <c r="B74" s="52" t="s">
        <v>254</v>
      </c>
      <c r="C74" s="143" t="s">
        <v>87</v>
      </c>
      <c r="D74" s="143" t="s">
        <v>255</v>
      </c>
      <c r="E74" s="51" t="s">
        <v>13</v>
      </c>
      <c r="F74" s="52">
        <v>20.6</v>
      </c>
      <c r="G74" s="53">
        <v>125.34</v>
      </c>
      <c r="H74" s="53">
        <v>161.46</v>
      </c>
      <c r="I74" s="53">
        <v>3326.08</v>
      </c>
      <c r="J74" s="45">
        <v>4.5522912789750271E-3</v>
      </c>
      <c r="M74" s="44"/>
    </row>
    <row r="75" spans="1:13" s="43" customFormat="1" ht="25.5" customHeight="1" x14ac:dyDescent="0.25">
      <c r="A75" s="143" t="s">
        <v>264</v>
      </c>
      <c r="B75" s="52" t="s">
        <v>342</v>
      </c>
      <c r="C75" s="143" t="s">
        <v>87</v>
      </c>
      <c r="D75" s="143" t="s">
        <v>305</v>
      </c>
      <c r="E75" s="51" t="s">
        <v>28</v>
      </c>
      <c r="F75" s="52">
        <v>609.76</v>
      </c>
      <c r="G75" s="53">
        <v>15.82</v>
      </c>
      <c r="H75" s="53">
        <v>20.38</v>
      </c>
      <c r="I75" s="53">
        <v>12426.91</v>
      </c>
      <c r="J75" s="45">
        <v>1.7008284231770598E-2</v>
      </c>
      <c r="M75" s="44"/>
    </row>
    <row r="76" spans="1:13" s="43" customFormat="1" ht="25.5" customHeight="1" x14ac:dyDescent="0.25">
      <c r="A76" s="143" t="s">
        <v>343</v>
      </c>
      <c r="B76" s="52" t="s">
        <v>344</v>
      </c>
      <c r="C76" s="143" t="s">
        <v>87</v>
      </c>
      <c r="D76" s="143" t="s">
        <v>306</v>
      </c>
      <c r="E76" s="51" t="s">
        <v>13</v>
      </c>
      <c r="F76" s="52">
        <v>28.84</v>
      </c>
      <c r="G76" s="53">
        <v>544.39</v>
      </c>
      <c r="H76" s="53">
        <v>701.28</v>
      </c>
      <c r="I76" s="53">
        <v>20224.919999999998</v>
      </c>
      <c r="J76" s="45">
        <v>2.7681152267524416E-2</v>
      </c>
      <c r="M76" s="44"/>
    </row>
    <row r="77" spans="1:13" x14ac:dyDescent="0.25">
      <c r="A77" s="143" t="s">
        <v>345</v>
      </c>
      <c r="B77" s="52" t="s">
        <v>346</v>
      </c>
      <c r="C77" s="143" t="s">
        <v>1373</v>
      </c>
      <c r="D77" s="143" t="s">
        <v>307</v>
      </c>
      <c r="E77" s="51" t="s">
        <v>19</v>
      </c>
      <c r="F77" s="52">
        <v>164.8</v>
      </c>
      <c r="G77" s="53">
        <v>19.420000000000002</v>
      </c>
      <c r="H77" s="53">
        <v>25.02</v>
      </c>
      <c r="I77" s="53">
        <v>4123.3</v>
      </c>
      <c r="J77" s="45">
        <v>5.6434188686374743E-3</v>
      </c>
    </row>
    <row r="78" spans="1:13" ht="15" customHeight="1" x14ac:dyDescent="0.25">
      <c r="A78" s="142" t="s">
        <v>347</v>
      </c>
      <c r="B78" s="142"/>
      <c r="C78" s="142"/>
      <c r="D78" s="142" t="s">
        <v>21</v>
      </c>
      <c r="E78" s="142"/>
      <c r="F78" s="73"/>
      <c r="G78" s="142"/>
      <c r="H78" s="142"/>
      <c r="I78" s="74">
        <v>13937.92</v>
      </c>
      <c r="J78" s="75">
        <v>1.9076351640084307E-2</v>
      </c>
    </row>
    <row r="79" spans="1:13" ht="56.25" customHeight="1" x14ac:dyDescent="0.25">
      <c r="A79" s="143" t="s">
        <v>348</v>
      </c>
      <c r="B79" s="52" t="s">
        <v>92</v>
      </c>
      <c r="C79" s="143" t="s">
        <v>1373</v>
      </c>
      <c r="D79" s="143" t="s">
        <v>22</v>
      </c>
      <c r="E79" s="51" t="s">
        <v>6</v>
      </c>
      <c r="F79" s="52">
        <v>603.5</v>
      </c>
      <c r="G79" s="53">
        <v>11.8</v>
      </c>
      <c r="H79" s="53">
        <v>15.2</v>
      </c>
      <c r="I79" s="53">
        <v>9173.2000000000007</v>
      </c>
      <c r="J79" s="45">
        <v>1.2555043282270336E-2</v>
      </c>
    </row>
    <row r="80" spans="1:13" ht="14.55" customHeight="1" x14ac:dyDescent="0.25">
      <c r="A80" s="143" t="s">
        <v>349</v>
      </c>
      <c r="B80" s="52" t="s">
        <v>265</v>
      </c>
      <c r="C80" s="143" t="s">
        <v>87</v>
      </c>
      <c r="D80" s="143" t="s">
        <v>266</v>
      </c>
      <c r="E80" s="51" t="s">
        <v>19</v>
      </c>
      <c r="F80" s="52">
        <v>6</v>
      </c>
      <c r="G80" s="53">
        <v>616.46</v>
      </c>
      <c r="H80" s="53">
        <v>794.12</v>
      </c>
      <c r="I80" s="53">
        <v>4764.72</v>
      </c>
      <c r="J80" s="45">
        <v>6.5213083578139703E-3</v>
      </c>
    </row>
    <row r="81" spans="1:10" ht="14.55" customHeight="1" x14ac:dyDescent="0.25">
      <c r="A81" s="97"/>
      <c r="B81" s="97"/>
      <c r="C81" s="97"/>
      <c r="D81" s="97"/>
      <c r="E81" s="97"/>
      <c r="F81" s="97"/>
      <c r="G81" s="97"/>
      <c r="H81" s="97"/>
      <c r="I81" s="97"/>
      <c r="J81" s="97"/>
    </row>
    <row r="82" spans="1:10" ht="14.55" customHeight="1" x14ac:dyDescent="0.25">
      <c r="A82" s="183"/>
      <c r="B82" s="183"/>
      <c r="C82" s="183"/>
      <c r="D82" s="54"/>
      <c r="E82" s="95"/>
      <c r="F82" s="182" t="s">
        <v>93</v>
      </c>
      <c r="G82" s="183"/>
      <c r="H82" s="184">
        <v>567178.78</v>
      </c>
      <c r="I82" s="183"/>
      <c r="J82" s="183"/>
    </row>
    <row r="83" spans="1:10" ht="14.55" customHeight="1" x14ac:dyDescent="0.25">
      <c r="A83" s="183"/>
      <c r="B83" s="183"/>
      <c r="C83" s="183"/>
      <c r="D83" s="54"/>
      <c r="E83" s="95"/>
      <c r="F83" s="182" t="s">
        <v>94</v>
      </c>
      <c r="G83" s="183"/>
      <c r="H83" s="184">
        <v>163459.88</v>
      </c>
      <c r="I83" s="183"/>
      <c r="J83" s="183"/>
    </row>
    <row r="84" spans="1:10" ht="14.55" customHeight="1" x14ac:dyDescent="0.25">
      <c r="A84" s="183"/>
      <c r="B84" s="183"/>
      <c r="C84" s="183"/>
      <c r="D84" s="54"/>
      <c r="E84" s="95"/>
      <c r="F84" s="182" t="s">
        <v>95</v>
      </c>
      <c r="G84" s="183"/>
      <c r="H84" s="184">
        <v>730638.66</v>
      </c>
      <c r="I84" s="183"/>
      <c r="J84" s="183"/>
    </row>
    <row r="85" spans="1:10" ht="15" customHeight="1" x14ac:dyDescent="0.25">
      <c r="A85" s="183" t="s">
        <v>1370</v>
      </c>
      <c r="B85" s="183"/>
      <c r="C85" s="183"/>
      <c r="D85" s="54"/>
      <c r="E85" s="92"/>
    </row>
    <row r="86" spans="1:10" ht="124.5" customHeight="1" x14ac:dyDescent="0.25">
      <c r="A86" s="183" t="s">
        <v>1984</v>
      </c>
      <c r="B86" s="183"/>
      <c r="C86" s="183"/>
      <c r="D86" s="54"/>
      <c r="E86" s="92"/>
    </row>
    <row r="87" spans="1:10" ht="48" customHeight="1" x14ac:dyDescent="0.25">
      <c r="A87" s="50"/>
      <c r="B87" s="192" t="s">
        <v>304</v>
      </c>
      <c r="C87" s="185"/>
      <c r="D87" s="185"/>
      <c r="E87" s="185"/>
      <c r="F87" s="185"/>
      <c r="G87" s="185"/>
      <c r="H87" s="185"/>
      <c r="I87" s="50"/>
      <c r="J87" s="50"/>
    </row>
    <row r="88" spans="1:10" x14ac:dyDescent="0.25">
      <c r="A88" s="180"/>
      <c r="B88" s="181"/>
      <c r="C88" s="181"/>
      <c r="D88" s="181"/>
      <c r="E88" s="181"/>
      <c r="F88" s="181"/>
      <c r="G88" s="181"/>
      <c r="H88" s="181"/>
      <c r="I88" s="181"/>
      <c r="J88" s="181"/>
    </row>
    <row r="89" spans="1:10" x14ac:dyDescent="0.25">
      <c r="A89" s="93"/>
      <c r="B89" s="93"/>
      <c r="C89" s="93"/>
      <c r="D89" s="93"/>
      <c r="E89" s="93"/>
      <c r="F89" s="93"/>
      <c r="G89" s="93"/>
      <c r="H89" s="93"/>
      <c r="I89" s="93"/>
      <c r="J89" s="93"/>
    </row>
    <row r="90" spans="1:10" x14ac:dyDescent="0.25">
      <c r="A90" s="93"/>
      <c r="B90" s="93"/>
      <c r="C90" s="93"/>
      <c r="D90" s="93"/>
      <c r="E90" s="93"/>
      <c r="F90" s="93"/>
      <c r="G90" s="93"/>
      <c r="H90" s="93"/>
      <c r="I90" s="93"/>
      <c r="J90" s="93"/>
    </row>
    <row r="91" spans="1:10" x14ac:dyDescent="0.25">
      <c r="A91" s="93"/>
      <c r="B91" s="93"/>
      <c r="C91" s="93"/>
      <c r="D91" s="93"/>
      <c r="E91" s="93"/>
      <c r="F91" s="93"/>
      <c r="G91" s="93"/>
      <c r="H91" s="93"/>
      <c r="I91" s="93"/>
      <c r="J91" s="93"/>
    </row>
    <row r="92" spans="1:10" x14ac:dyDescent="0.25">
      <c r="A92" s="49"/>
      <c r="B92" s="49"/>
      <c r="C92" s="49"/>
      <c r="D92" s="49"/>
      <c r="E92" s="49"/>
      <c r="F92" s="49"/>
      <c r="G92" s="49"/>
      <c r="H92" s="49"/>
      <c r="I92" s="49"/>
      <c r="J92" s="49"/>
    </row>
    <row r="93" spans="1:10" x14ac:dyDescent="0.25">
      <c r="A93" s="49"/>
      <c r="B93" s="49"/>
      <c r="C93" s="49"/>
      <c r="D93" s="49"/>
      <c r="E93" s="49"/>
      <c r="F93" s="49"/>
      <c r="G93" s="49"/>
      <c r="H93" s="49"/>
      <c r="I93" s="49"/>
      <c r="J93" s="49"/>
    </row>
    <row r="94" spans="1:10" x14ac:dyDescent="0.25">
      <c r="A94" s="49"/>
      <c r="B94" s="49"/>
      <c r="C94" s="49"/>
      <c r="D94" s="49"/>
      <c r="E94" s="49"/>
      <c r="F94" s="49"/>
      <c r="G94" s="49"/>
      <c r="H94" s="49"/>
      <c r="I94" s="49"/>
      <c r="J94" s="49"/>
    </row>
    <row r="95" spans="1:10" x14ac:dyDescent="0.25">
      <c r="A95" s="49"/>
      <c r="B95" s="49"/>
      <c r="C95" s="49"/>
      <c r="D95" s="49"/>
      <c r="E95" s="49"/>
      <c r="F95" s="49"/>
      <c r="G95" s="49"/>
      <c r="H95" s="49"/>
      <c r="I95" s="49"/>
      <c r="J95" s="49"/>
    </row>
    <row r="96" spans="1:10" x14ac:dyDescent="0.25">
      <c r="A96" s="49"/>
      <c r="B96" s="49"/>
      <c r="C96" s="49"/>
      <c r="D96" s="49"/>
      <c r="E96" s="49"/>
      <c r="F96" s="49"/>
      <c r="G96" s="49"/>
      <c r="H96" s="49"/>
      <c r="I96" s="49"/>
      <c r="J96" s="49"/>
    </row>
    <row r="97" spans="1:10" x14ac:dyDescent="0.25">
      <c r="A97" s="49"/>
      <c r="B97" s="49"/>
      <c r="C97" s="49"/>
      <c r="D97" s="49"/>
      <c r="E97" s="49"/>
      <c r="F97" s="49"/>
      <c r="G97" s="49"/>
      <c r="H97" s="49"/>
      <c r="I97" s="49"/>
      <c r="J97" s="49"/>
    </row>
    <row r="98" spans="1:10" x14ac:dyDescent="0.25">
      <c r="A98" s="49"/>
      <c r="B98" s="49"/>
      <c r="C98" s="49"/>
      <c r="D98" s="49"/>
      <c r="E98" s="49"/>
      <c r="F98" s="49"/>
      <c r="G98" s="49"/>
      <c r="H98" s="49"/>
      <c r="I98" s="49"/>
      <c r="J98" s="49"/>
    </row>
    <row r="99" spans="1:10" x14ac:dyDescent="0.25">
      <c r="A99" s="49"/>
      <c r="B99" s="49"/>
      <c r="C99" s="49"/>
      <c r="D99" s="49"/>
      <c r="E99" s="49"/>
      <c r="F99" s="49"/>
      <c r="G99" s="49"/>
      <c r="H99" s="49"/>
      <c r="I99" s="49"/>
      <c r="J99" s="49"/>
    </row>
    <row r="100" spans="1:10" x14ac:dyDescent="0.25">
      <c r="A100" s="49"/>
      <c r="B100" s="49"/>
      <c r="C100" s="49"/>
      <c r="D100" s="49"/>
      <c r="E100" s="49"/>
      <c r="F100" s="49"/>
      <c r="G100" s="49"/>
      <c r="H100" s="49"/>
      <c r="I100" s="49"/>
      <c r="J100" s="49"/>
    </row>
    <row r="101" spans="1:10" x14ac:dyDescent="0.25">
      <c r="A101" s="49"/>
      <c r="B101" s="49"/>
      <c r="C101" s="49"/>
      <c r="D101" s="49"/>
      <c r="E101" s="49"/>
      <c r="F101" s="49"/>
      <c r="G101" s="49"/>
      <c r="H101" s="49"/>
      <c r="I101" s="49"/>
      <c r="J101" s="49"/>
    </row>
    <row r="102" spans="1:10" x14ac:dyDescent="0.25">
      <c r="A102" s="49"/>
      <c r="B102" s="49"/>
      <c r="C102" s="49"/>
      <c r="D102" s="49"/>
      <c r="E102" s="49"/>
      <c r="F102" s="49"/>
      <c r="G102" s="49"/>
      <c r="H102" s="49"/>
      <c r="I102" s="49"/>
      <c r="J102" s="49"/>
    </row>
    <row r="103" spans="1:10" x14ac:dyDescent="0.25">
      <c r="A103" s="49"/>
      <c r="B103" s="49"/>
      <c r="C103" s="49"/>
      <c r="D103" s="49"/>
      <c r="E103" s="49"/>
      <c r="F103" s="49"/>
      <c r="G103" s="49"/>
      <c r="H103" s="49"/>
      <c r="I103" s="49"/>
      <c r="J103" s="49"/>
    </row>
    <row r="104" spans="1:10" x14ac:dyDescent="0.25">
      <c r="A104" s="49"/>
      <c r="B104" s="49"/>
      <c r="C104" s="49"/>
      <c r="D104" s="49"/>
      <c r="E104" s="49"/>
      <c r="F104" s="49"/>
      <c r="G104" s="49"/>
      <c r="H104" s="49"/>
      <c r="I104" s="49"/>
      <c r="J104" s="49"/>
    </row>
    <row r="105" spans="1:10" x14ac:dyDescent="0.25">
      <c r="A105" s="49"/>
      <c r="B105" s="49"/>
      <c r="C105" s="49"/>
      <c r="D105" s="49"/>
      <c r="E105" s="49"/>
      <c r="F105" s="49"/>
      <c r="G105" s="49"/>
      <c r="H105" s="49"/>
      <c r="I105" s="49"/>
      <c r="J105" s="49"/>
    </row>
    <row r="106" spans="1:10" x14ac:dyDescent="0.25">
      <c r="A106" s="49"/>
      <c r="B106" s="49"/>
      <c r="C106" s="49"/>
      <c r="D106" s="49"/>
      <c r="E106" s="49"/>
      <c r="F106" s="49"/>
      <c r="G106" s="49"/>
      <c r="H106" s="49"/>
      <c r="I106" s="49"/>
      <c r="J106" s="49"/>
    </row>
    <row r="107" spans="1:10" x14ac:dyDescent="0.25">
      <c r="A107" s="49"/>
      <c r="B107" s="49"/>
      <c r="C107" s="49"/>
      <c r="D107" s="49"/>
      <c r="E107" s="49"/>
      <c r="F107" s="49"/>
      <c r="G107" s="49"/>
      <c r="H107" s="49"/>
      <c r="I107" s="49"/>
      <c r="J107" s="49"/>
    </row>
    <row r="108" spans="1:10" x14ac:dyDescent="0.25">
      <c r="A108" s="49"/>
      <c r="B108" s="49"/>
      <c r="C108" s="49"/>
      <c r="D108" s="49"/>
      <c r="E108" s="49"/>
      <c r="F108" s="49"/>
      <c r="G108" s="49"/>
      <c r="H108" s="49"/>
      <c r="I108" s="49"/>
      <c r="J108" s="49"/>
    </row>
    <row r="109" spans="1:10" x14ac:dyDescent="0.25">
      <c r="A109" s="49"/>
      <c r="B109" s="49"/>
      <c r="C109" s="49"/>
      <c r="D109" s="49"/>
      <c r="E109" s="49"/>
      <c r="F109" s="49"/>
      <c r="G109" s="49"/>
      <c r="H109" s="49"/>
      <c r="I109" s="49"/>
      <c r="J109" s="49"/>
    </row>
    <row r="110" spans="1:10" x14ac:dyDescent="0.25">
      <c r="A110" s="49"/>
      <c r="B110" s="49"/>
      <c r="C110" s="49"/>
      <c r="D110" s="49"/>
      <c r="E110" s="49"/>
      <c r="F110" s="49"/>
      <c r="G110" s="49"/>
      <c r="H110" s="49"/>
      <c r="I110" s="49"/>
      <c r="J110" s="49"/>
    </row>
    <row r="111" spans="1:10" x14ac:dyDescent="0.25">
      <c r="A111" s="49"/>
      <c r="B111" s="49"/>
      <c r="C111" s="49"/>
      <c r="D111" s="49"/>
      <c r="E111" s="49"/>
      <c r="F111" s="49"/>
      <c r="G111" s="49"/>
      <c r="H111" s="49"/>
      <c r="I111" s="49"/>
      <c r="J111" s="49"/>
    </row>
    <row r="112" spans="1:10" x14ac:dyDescent="0.25">
      <c r="A112" s="49"/>
      <c r="B112" s="49"/>
      <c r="C112" s="49"/>
      <c r="D112" s="49"/>
      <c r="E112" s="49"/>
      <c r="F112" s="49"/>
      <c r="G112" s="49"/>
      <c r="H112" s="49"/>
      <c r="I112" s="49"/>
      <c r="J112" s="49"/>
    </row>
    <row r="113" spans="1:10" x14ac:dyDescent="0.25">
      <c r="A113" s="49"/>
      <c r="B113" s="49"/>
      <c r="C113" s="49"/>
      <c r="D113" s="49"/>
      <c r="E113" s="49"/>
      <c r="F113" s="49"/>
      <c r="G113" s="49"/>
      <c r="H113" s="49"/>
      <c r="I113" s="49"/>
      <c r="J113" s="49"/>
    </row>
    <row r="114" spans="1:10" x14ac:dyDescent="0.25">
      <c r="A114" s="49"/>
      <c r="B114" s="49"/>
      <c r="C114" s="49"/>
      <c r="D114" s="49"/>
      <c r="E114" s="49"/>
      <c r="F114" s="49"/>
      <c r="G114" s="49"/>
      <c r="H114" s="49"/>
      <c r="I114" s="49"/>
      <c r="J114" s="49"/>
    </row>
    <row r="115" spans="1:10" x14ac:dyDescent="0.25">
      <c r="A115" s="49"/>
      <c r="B115" s="49"/>
      <c r="C115" s="49"/>
      <c r="D115" s="49"/>
      <c r="E115" s="49"/>
      <c r="F115" s="49"/>
      <c r="G115" s="49"/>
      <c r="H115" s="49"/>
      <c r="I115" s="49"/>
      <c r="J115" s="49"/>
    </row>
    <row r="116" spans="1:10" x14ac:dyDescent="0.25">
      <c r="A116" s="49"/>
      <c r="B116" s="49"/>
      <c r="C116" s="49"/>
      <c r="D116" s="49"/>
      <c r="E116" s="49"/>
      <c r="F116" s="49"/>
      <c r="G116" s="49"/>
      <c r="H116" s="49"/>
      <c r="I116" s="49"/>
      <c r="J116" s="49"/>
    </row>
    <row r="117" spans="1:10" x14ac:dyDescent="0.25">
      <c r="A117" s="49"/>
      <c r="B117" s="49"/>
      <c r="C117" s="49"/>
      <c r="D117" s="49"/>
      <c r="E117" s="49"/>
      <c r="F117" s="49"/>
      <c r="G117" s="49"/>
      <c r="H117" s="49"/>
      <c r="I117" s="49"/>
      <c r="J117" s="49"/>
    </row>
    <row r="118" spans="1:10" x14ac:dyDescent="0.25">
      <c r="A118" s="49"/>
      <c r="B118" s="49"/>
      <c r="C118" s="49"/>
      <c r="D118" s="49"/>
      <c r="E118" s="49"/>
      <c r="F118" s="49"/>
      <c r="G118" s="49"/>
      <c r="H118" s="49"/>
      <c r="I118" s="49"/>
      <c r="J118" s="49"/>
    </row>
    <row r="119" spans="1:10" x14ac:dyDescent="0.25">
      <c r="A119" s="49"/>
      <c r="B119" s="49"/>
      <c r="C119" s="49"/>
      <c r="D119" s="49"/>
      <c r="E119" s="49"/>
      <c r="F119" s="49"/>
      <c r="G119" s="49"/>
      <c r="H119" s="49"/>
      <c r="I119" s="49"/>
      <c r="J119" s="49"/>
    </row>
    <row r="120" spans="1:10" x14ac:dyDescent="0.25">
      <c r="A120" s="49"/>
      <c r="B120" s="49"/>
      <c r="C120" s="49"/>
      <c r="D120" s="49"/>
      <c r="E120" s="49"/>
      <c r="F120" s="49"/>
      <c r="G120" s="49"/>
      <c r="H120" s="49"/>
      <c r="I120" s="49"/>
      <c r="J120" s="49"/>
    </row>
    <row r="121" spans="1:10" x14ac:dyDescent="0.25">
      <c r="A121" s="49"/>
      <c r="B121" s="49"/>
      <c r="C121" s="49"/>
      <c r="D121" s="49"/>
      <c r="E121" s="49"/>
      <c r="F121" s="49"/>
      <c r="G121" s="49"/>
      <c r="H121" s="49"/>
      <c r="I121" s="49"/>
      <c r="J121" s="49"/>
    </row>
    <row r="122" spans="1:10" x14ac:dyDescent="0.25">
      <c r="A122" s="49"/>
      <c r="B122" s="49"/>
      <c r="C122" s="49"/>
      <c r="D122" s="49"/>
      <c r="E122" s="49"/>
      <c r="F122" s="49"/>
      <c r="G122" s="49"/>
      <c r="H122" s="49"/>
      <c r="I122" s="49"/>
      <c r="J122" s="49"/>
    </row>
    <row r="123" spans="1:10" x14ac:dyDescent="0.25">
      <c r="A123" s="49"/>
      <c r="B123" s="49"/>
      <c r="C123" s="49"/>
      <c r="D123" s="49"/>
      <c r="E123" s="49"/>
      <c r="F123" s="49"/>
      <c r="G123" s="49"/>
      <c r="H123" s="49"/>
      <c r="I123" s="49"/>
      <c r="J123" s="49"/>
    </row>
    <row r="124" spans="1:10" x14ac:dyDescent="0.25">
      <c r="A124" s="49"/>
      <c r="B124" s="49"/>
      <c r="C124" s="49"/>
      <c r="D124" s="49"/>
      <c r="E124" s="49"/>
      <c r="F124" s="49"/>
      <c r="G124" s="49"/>
      <c r="H124" s="49"/>
      <c r="I124" s="49"/>
      <c r="J124" s="49"/>
    </row>
    <row r="125" spans="1:10" x14ac:dyDescent="0.25">
      <c r="A125" s="49"/>
      <c r="B125" s="49"/>
      <c r="C125" s="49"/>
      <c r="D125" s="49"/>
      <c r="E125" s="49"/>
      <c r="F125" s="49"/>
      <c r="G125" s="49"/>
      <c r="H125" s="49"/>
      <c r="I125" s="49"/>
      <c r="J125" s="49"/>
    </row>
    <row r="126" spans="1:10" x14ac:dyDescent="0.25">
      <c r="A126" s="49"/>
      <c r="B126" s="49"/>
      <c r="C126" s="49"/>
      <c r="D126" s="49"/>
      <c r="E126" s="49"/>
      <c r="F126" s="49"/>
      <c r="G126" s="49"/>
      <c r="H126" s="49"/>
      <c r="I126" s="49"/>
      <c r="J126" s="49"/>
    </row>
    <row r="127" spans="1:10" x14ac:dyDescent="0.25">
      <c r="A127" s="49"/>
      <c r="B127" s="49"/>
      <c r="C127" s="49"/>
      <c r="D127" s="49"/>
      <c r="E127" s="49"/>
      <c r="F127" s="49"/>
      <c r="G127" s="49"/>
      <c r="H127" s="49"/>
      <c r="I127" s="49"/>
      <c r="J127" s="49"/>
    </row>
    <row r="128" spans="1:10" x14ac:dyDescent="0.25">
      <c r="A128" s="49"/>
      <c r="B128" s="49"/>
      <c r="C128" s="49"/>
      <c r="D128" s="49"/>
      <c r="E128" s="49"/>
      <c r="F128" s="49"/>
      <c r="G128" s="49"/>
      <c r="H128" s="49"/>
      <c r="I128" s="49"/>
      <c r="J128" s="49"/>
    </row>
    <row r="129" spans="1:10" x14ac:dyDescent="0.25">
      <c r="A129" s="49"/>
      <c r="B129" s="49"/>
      <c r="C129" s="49"/>
      <c r="D129" s="49"/>
      <c r="E129" s="49"/>
      <c r="F129" s="49"/>
      <c r="G129" s="49"/>
      <c r="H129" s="49"/>
      <c r="I129" s="49"/>
      <c r="J129" s="49"/>
    </row>
    <row r="130" spans="1:10" x14ac:dyDescent="0.25">
      <c r="A130" s="49"/>
      <c r="B130" s="49"/>
      <c r="C130" s="49"/>
      <c r="D130" s="49"/>
      <c r="E130" s="49"/>
      <c r="F130" s="49"/>
      <c r="G130" s="49"/>
      <c r="H130" s="49"/>
      <c r="I130" s="49"/>
      <c r="J130" s="49"/>
    </row>
  </sheetData>
  <mergeCells count="20">
    <mergeCell ref="A88:J88"/>
    <mergeCell ref="B87:H87"/>
    <mergeCell ref="A7:I7"/>
    <mergeCell ref="F82:G82"/>
    <mergeCell ref="H82:J82"/>
    <mergeCell ref="A82:C82"/>
    <mergeCell ref="A85:C85"/>
    <mergeCell ref="F83:G83"/>
    <mergeCell ref="H83:J83"/>
    <mergeCell ref="A86:C86"/>
    <mergeCell ref="F84:G84"/>
    <mergeCell ref="H84:J84"/>
    <mergeCell ref="A83:C83"/>
    <mergeCell ref="A84:C84"/>
    <mergeCell ref="E1:F1"/>
    <mergeCell ref="G1:H1"/>
    <mergeCell ref="I1:J1"/>
    <mergeCell ref="E2:F2"/>
    <mergeCell ref="G2:H2"/>
    <mergeCell ref="I2:J5"/>
  </mergeCells>
  <pageMargins left="0.51181102362204722" right="0.51181102362204722" top="0.78740157480314965" bottom="0.78740157480314965" header="0.31496062992125984" footer="0.31496062992125984"/>
  <pageSetup paperSize="9" scale="75" orientation="landscape" r:id="rId1"/>
  <headerFooter>
    <oddFooter>&amp;C&amp;A&amp;Rpag &amp;P de&amp;N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BreakPreview" topLeftCell="A22" zoomScaleNormal="100" zoomScaleSheetLayoutView="100" workbookViewId="0">
      <selection activeCell="H70" sqref="H70"/>
    </sheetView>
  </sheetViews>
  <sheetFormatPr defaultColWidth="9" defaultRowHeight="14.4" x14ac:dyDescent="0.25"/>
  <cols>
    <col min="1" max="1" width="7.296875" style="40" customWidth="1"/>
    <col min="2" max="2" width="12.5" style="40" hidden="1" customWidth="1"/>
    <col min="3" max="3" width="12" style="40" hidden="1" customWidth="1"/>
    <col min="4" max="4" width="60" style="40" bestFit="1" customWidth="1"/>
    <col min="5" max="5" width="7.59765625" style="40" bestFit="1" customWidth="1"/>
    <col min="6" max="6" width="9.09765625" style="78" customWidth="1"/>
    <col min="7" max="12" width="46.796875" style="40" customWidth="1"/>
    <col min="13" max="16384" width="9" style="40"/>
  </cols>
  <sheetData>
    <row r="1" spans="1:10" ht="15.75" customHeight="1" x14ac:dyDescent="0.25">
      <c r="A1" s="70" t="str">
        <f>'Planilha sintetica'!A1</f>
        <v>Cliente: PREFEITURA MUNICIPAL DE ENGENHEIRO COELHO</v>
      </c>
      <c r="B1" s="58"/>
      <c r="C1" s="58"/>
      <c r="D1" s="58"/>
      <c r="E1" s="187"/>
      <c r="F1" s="187"/>
      <c r="G1" s="59" t="s">
        <v>23</v>
      </c>
    </row>
    <row r="2" spans="1:10" ht="14.25" customHeight="1" x14ac:dyDescent="0.25">
      <c r="A2" s="70" t="str">
        <f>'Planilha sintetica'!A2</f>
        <v>Obra: TRAVESSIA JARDIM MERCEDEZ - PORTAL DO LAGO</v>
      </c>
      <c r="B2" s="60"/>
      <c r="C2" s="60"/>
      <c r="D2" s="60"/>
      <c r="E2" s="189"/>
      <c r="F2" s="189"/>
      <c r="G2" s="61">
        <f>BDI!N27</f>
        <v>0.28820000000000001</v>
      </c>
    </row>
    <row r="3" spans="1:10" ht="14.25" customHeight="1" x14ac:dyDescent="0.25">
      <c r="A3" s="68"/>
      <c r="B3" s="60"/>
      <c r="C3" s="60"/>
      <c r="D3" s="60"/>
      <c r="E3" s="60"/>
      <c r="F3" s="76"/>
      <c r="G3" s="60"/>
    </row>
    <row r="4" spans="1:10" ht="15.6" x14ac:dyDescent="0.25">
      <c r="A4" s="68"/>
      <c r="B4" s="60"/>
      <c r="C4" s="60"/>
      <c r="D4" s="60"/>
      <c r="E4" s="60"/>
      <c r="F4" s="76"/>
      <c r="G4" s="60"/>
    </row>
    <row r="5" spans="1:10" ht="15.6" x14ac:dyDescent="0.25">
      <c r="A5" s="160"/>
      <c r="B5" s="60"/>
      <c r="C5" s="60"/>
      <c r="D5" s="60"/>
      <c r="E5" s="60"/>
      <c r="F5" s="76"/>
      <c r="G5" s="60"/>
    </row>
    <row r="6" spans="1:10" x14ac:dyDescent="0.25">
      <c r="A6" s="42"/>
      <c r="B6" s="60"/>
      <c r="C6" s="60"/>
      <c r="D6" s="91"/>
      <c r="E6" s="60"/>
      <c r="F6" s="76"/>
      <c r="G6" s="60"/>
    </row>
    <row r="7" spans="1:10" ht="15" customHeight="1" x14ac:dyDescent="0.25">
      <c r="A7" s="186" t="s">
        <v>267</v>
      </c>
      <c r="B7" s="186"/>
      <c r="C7" s="186"/>
      <c r="D7" s="186"/>
      <c r="E7" s="186"/>
      <c r="F7" s="186"/>
      <c r="G7" s="186"/>
    </row>
    <row r="8" spans="1:10" s="43" customFormat="1" ht="13.8" x14ac:dyDescent="0.25">
      <c r="A8" s="65" t="s">
        <v>0</v>
      </c>
      <c r="B8" s="66" t="s">
        <v>82</v>
      </c>
      <c r="C8" s="65" t="s">
        <v>83</v>
      </c>
      <c r="D8" s="65" t="s">
        <v>1</v>
      </c>
      <c r="E8" s="67" t="s">
        <v>2</v>
      </c>
      <c r="F8" s="80" t="s">
        <v>3</v>
      </c>
      <c r="G8" s="79" t="s">
        <v>268</v>
      </c>
      <c r="J8" s="44"/>
    </row>
    <row r="9" spans="1:10" s="43" customFormat="1" ht="13.2" x14ac:dyDescent="0.25">
      <c r="A9" s="72" t="s">
        <v>4</v>
      </c>
      <c r="B9" s="72"/>
      <c r="C9" s="72"/>
      <c r="D9" s="72" t="s">
        <v>150</v>
      </c>
      <c r="E9" s="72"/>
      <c r="F9" s="82"/>
      <c r="G9" s="81"/>
      <c r="J9" s="44"/>
    </row>
    <row r="10" spans="1:10" s="43" customFormat="1" ht="13.8" x14ac:dyDescent="0.25">
      <c r="A10" s="62" t="s">
        <v>5</v>
      </c>
      <c r="B10" s="52" t="s">
        <v>151</v>
      </c>
      <c r="C10" s="62" t="s">
        <v>88</v>
      </c>
      <c r="D10" s="62" t="s">
        <v>152</v>
      </c>
      <c r="E10" s="51" t="s">
        <v>6</v>
      </c>
      <c r="F10" s="84">
        <f>2.4*2</f>
        <v>4.8</v>
      </c>
      <c r="G10" s="85" t="s">
        <v>382</v>
      </c>
      <c r="J10" s="44"/>
    </row>
    <row r="11" spans="1:10" s="43" customFormat="1" ht="19.2" customHeight="1" x14ac:dyDescent="0.25">
      <c r="A11" s="72" t="s">
        <v>7</v>
      </c>
      <c r="B11" s="72"/>
      <c r="C11" s="72"/>
      <c r="D11" s="72" t="s">
        <v>117</v>
      </c>
      <c r="E11" s="72"/>
      <c r="F11" s="82"/>
      <c r="G11" s="81"/>
      <c r="J11" s="44"/>
    </row>
    <row r="12" spans="1:10" s="43" customFormat="1" ht="13.2" x14ac:dyDescent="0.25">
      <c r="A12" s="72" t="s">
        <v>8</v>
      </c>
      <c r="B12" s="72"/>
      <c r="C12" s="72"/>
      <c r="D12" s="72" t="s">
        <v>153</v>
      </c>
      <c r="E12" s="72"/>
      <c r="F12" s="82"/>
      <c r="G12" s="81"/>
      <c r="J12" s="44"/>
    </row>
    <row r="13" spans="1:10" s="43" customFormat="1" ht="26.4" x14ac:dyDescent="0.25">
      <c r="A13" s="62" t="s">
        <v>127</v>
      </c>
      <c r="B13" s="52" t="s">
        <v>154</v>
      </c>
      <c r="C13" s="62" t="s">
        <v>87</v>
      </c>
      <c r="D13" s="62" t="s">
        <v>155</v>
      </c>
      <c r="E13" s="51" t="s">
        <v>6</v>
      </c>
      <c r="F13" s="84">
        <f>2*3</f>
        <v>6</v>
      </c>
      <c r="G13" s="85" t="s">
        <v>269</v>
      </c>
      <c r="J13" s="44"/>
    </row>
    <row r="14" spans="1:10" s="43" customFormat="1" ht="13.2" x14ac:dyDescent="0.25">
      <c r="A14" s="72" t="s">
        <v>9</v>
      </c>
      <c r="B14" s="72"/>
      <c r="C14" s="72"/>
      <c r="D14" s="72" t="s">
        <v>156</v>
      </c>
      <c r="E14" s="72"/>
      <c r="F14" s="82"/>
      <c r="G14" s="81"/>
      <c r="J14" s="44"/>
    </row>
    <row r="15" spans="1:10" s="43" customFormat="1" ht="39.6" x14ac:dyDescent="0.25">
      <c r="A15" s="62" t="s">
        <v>129</v>
      </c>
      <c r="B15" s="52" t="s">
        <v>157</v>
      </c>
      <c r="C15" s="62" t="s">
        <v>87</v>
      </c>
      <c r="D15" s="62" t="s">
        <v>158</v>
      </c>
      <c r="E15" s="51" t="s">
        <v>6</v>
      </c>
      <c r="F15" s="161">
        <f>70*40</f>
        <v>2800</v>
      </c>
      <c r="G15" s="161" t="s">
        <v>314</v>
      </c>
      <c r="J15" s="44"/>
    </row>
    <row r="16" spans="1:10" s="43" customFormat="1" ht="39.6" x14ac:dyDescent="0.25">
      <c r="A16" s="62" t="s">
        <v>130</v>
      </c>
      <c r="B16" s="52" t="s">
        <v>159</v>
      </c>
      <c r="C16" s="62" t="s">
        <v>87</v>
      </c>
      <c r="D16" s="62" t="s">
        <v>160</v>
      </c>
      <c r="E16" s="51" t="s">
        <v>13</v>
      </c>
      <c r="F16" s="161">
        <f>F15*0.15*1.3</f>
        <v>546</v>
      </c>
      <c r="G16" s="161" t="s">
        <v>315</v>
      </c>
      <c r="J16" s="44"/>
    </row>
    <row r="17" spans="1:10" s="43" customFormat="1" ht="26.4" x14ac:dyDescent="0.25">
      <c r="A17" s="62" t="s">
        <v>131</v>
      </c>
      <c r="B17" s="52" t="s">
        <v>161</v>
      </c>
      <c r="C17" s="62" t="s">
        <v>87</v>
      </c>
      <c r="D17" s="62" t="s">
        <v>162</v>
      </c>
      <c r="E17" s="51" t="s">
        <v>163</v>
      </c>
      <c r="F17" s="161">
        <f>F16*2</f>
        <v>1092</v>
      </c>
      <c r="G17" s="161" t="s">
        <v>316</v>
      </c>
      <c r="J17" s="44"/>
    </row>
    <row r="18" spans="1:10" s="43" customFormat="1" ht="25.5" customHeight="1" x14ac:dyDescent="0.25">
      <c r="A18" s="72" t="s">
        <v>106</v>
      </c>
      <c r="B18" s="72"/>
      <c r="C18" s="72"/>
      <c r="D18" s="72" t="s">
        <v>164</v>
      </c>
      <c r="E18" s="72"/>
      <c r="F18" s="82"/>
      <c r="G18" s="81"/>
      <c r="J18" s="44"/>
    </row>
    <row r="19" spans="1:10" s="43" customFormat="1" ht="25.5" customHeight="1" x14ac:dyDescent="0.25">
      <c r="A19" s="62" t="s">
        <v>132</v>
      </c>
      <c r="B19" s="52" t="s">
        <v>165</v>
      </c>
      <c r="C19" s="62" t="s">
        <v>87</v>
      </c>
      <c r="D19" s="62" t="s">
        <v>166</v>
      </c>
      <c r="E19" s="51" t="s">
        <v>19</v>
      </c>
      <c r="F19" s="162">
        <f>45*2</f>
        <v>90</v>
      </c>
      <c r="G19" s="163" t="s">
        <v>271</v>
      </c>
      <c r="J19" s="44"/>
    </row>
    <row r="20" spans="1:10" s="43" customFormat="1" ht="13.8" x14ac:dyDescent="0.25">
      <c r="A20" s="62" t="s">
        <v>133</v>
      </c>
      <c r="B20" s="52" t="s">
        <v>167</v>
      </c>
      <c r="C20" s="62" t="s">
        <v>90</v>
      </c>
      <c r="D20" s="62" t="s">
        <v>168</v>
      </c>
      <c r="E20" s="51" t="s">
        <v>6</v>
      </c>
      <c r="F20" s="162">
        <f>F19*1.2</f>
        <v>108</v>
      </c>
      <c r="G20" s="163" t="s">
        <v>272</v>
      </c>
      <c r="J20" s="44"/>
    </row>
    <row r="21" spans="1:10" s="43" customFormat="1" ht="25.5" customHeight="1" x14ac:dyDescent="0.25">
      <c r="A21" s="72" t="s">
        <v>114</v>
      </c>
      <c r="B21" s="72"/>
      <c r="C21" s="72"/>
      <c r="D21" s="72" t="s">
        <v>169</v>
      </c>
      <c r="E21" s="72"/>
      <c r="F21" s="82"/>
      <c r="G21" s="81"/>
      <c r="J21" s="44"/>
    </row>
    <row r="22" spans="1:10" s="43" customFormat="1" ht="25.5" customHeight="1" x14ac:dyDescent="0.25">
      <c r="A22" s="62" t="s">
        <v>134</v>
      </c>
      <c r="B22" s="52" t="s">
        <v>170</v>
      </c>
      <c r="C22" s="62" t="s">
        <v>87</v>
      </c>
      <c r="D22" s="62" t="s">
        <v>171</v>
      </c>
      <c r="E22" s="51" t="s">
        <v>13</v>
      </c>
      <c r="F22" s="161">
        <f>F33</f>
        <v>2735.85</v>
      </c>
      <c r="G22" s="164" t="s">
        <v>352</v>
      </c>
      <c r="J22" s="44"/>
    </row>
    <row r="23" spans="1:10" s="43" customFormat="1" ht="13.2" x14ac:dyDescent="0.25">
      <c r="A23" s="62" t="s">
        <v>135</v>
      </c>
      <c r="B23" s="52" t="s">
        <v>172</v>
      </c>
      <c r="C23" s="62" t="s">
        <v>128</v>
      </c>
      <c r="D23" s="62" t="s">
        <v>173</v>
      </c>
      <c r="E23" s="51" t="s">
        <v>174</v>
      </c>
      <c r="F23" s="161">
        <v>7</v>
      </c>
      <c r="G23" s="164" t="s">
        <v>353</v>
      </c>
      <c r="J23" s="44"/>
    </row>
    <row r="24" spans="1:10" s="43" customFormat="1" ht="25.5" customHeight="1" x14ac:dyDescent="0.25">
      <c r="A24" s="72" t="s">
        <v>115</v>
      </c>
      <c r="B24" s="72"/>
      <c r="C24" s="72"/>
      <c r="D24" s="72" t="s">
        <v>175</v>
      </c>
      <c r="E24" s="72"/>
      <c r="F24" s="82"/>
      <c r="G24" s="81"/>
      <c r="J24" s="44"/>
    </row>
    <row r="25" spans="1:10" s="43" customFormat="1" ht="25.5" customHeight="1" x14ac:dyDescent="0.25">
      <c r="A25" s="62" t="s">
        <v>136</v>
      </c>
      <c r="B25" s="52" t="s">
        <v>176</v>
      </c>
      <c r="C25" s="62" t="s">
        <v>87</v>
      </c>
      <c r="D25" s="62" t="s">
        <v>177</v>
      </c>
      <c r="E25" s="51" t="s">
        <v>6</v>
      </c>
      <c r="F25" s="84">
        <f>50*2</f>
        <v>100</v>
      </c>
      <c r="G25" s="85" t="s">
        <v>273</v>
      </c>
      <c r="J25" s="44"/>
    </row>
    <row r="26" spans="1:10" s="43" customFormat="1" ht="25.5" customHeight="1" x14ac:dyDescent="0.25">
      <c r="A26" s="62" t="s">
        <v>137</v>
      </c>
      <c r="B26" s="52" t="s">
        <v>178</v>
      </c>
      <c r="C26" s="62" t="s">
        <v>87</v>
      </c>
      <c r="D26" s="62" t="s">
        <v>179</v>
      </c>
      <c r="E26" s="51" t="s">
        <v>126</v>
      </c>
      <c r="F26" s="84">
        <f>14*8</f>
        <v>112</v>
      </c>
      <c r="G26" s="85" t="s">
        <v>270</v>
      </c>
      <c r="J26" s="44"/>
    </row>
    <row r="27" spans="1:10" s="43" customFormat="1" ht="25.5" customHeight="1" x14ac:dyDescent="0.25">
      <c r="A27" s="62" t="s">
        <v>138</v>
      </c>
      <c r="B27" s="52" t="s">
        <v>180</v>
      </c>
      <c r="C27" s="62" t="s">
        <v>87</v>
      </c>
      <c r="D27" s="62" t="s">
        <v>181</v>
      </c>
      <c r="E27" s="51" t="s">
        <v>126</v>
      </c>
      <c r="F27" s="84">
        <f>14*8</f>
        <v>112</v>
      </c>
      <c r="G27" s="85" t="s">
        <v>270</v>
      </c>
      <c r="J27" s="44"/>
    </row>
    <row r="28" spans="1:10" s="43" customFormat="1" ht="13.2" x14ac:dyDescent="0.25">
      <c r="A28" s="72" t="s">
        <v>10</v>
      </c>
      <c r="B28" s="72"/>
      <c r="C28" s="72"/>
      <c r="D28" s="72" t="s">
        <v>182</v>
      </c>
      <c r="E28" s="72"/>
      <c r="F28" s="82"/>
      <c r="G28" s="81"/>
      <c r="J28" s="44"/>
    </row>
    <row r="29" spans="1:10" s="43" customFormat="1" ht="13.2" x14ac:dyDescent="0.25">
      <c r="A29" s="72" t="s">
        <v>11</v>
      </c>
      <c r="B29" s="72"/>
      <c r="C29" s="72"/>
      <c r="D29" s="72" t="s">
        <v>183</v>
      </c>
      <c r="E29" s="72"/>
      <c r="F29" s="82"/>
      <c r="G29" s="81"/>
      <c r="J29" s="44"/>
    </row>
    <row r="30" spans="1:10" s="43" customFormat="1" ht="25.5" customHeight="1" x14ac:dyDescent="0.25">
      <c r="A30" s="62" t="s">
        <v>139</v>
      </c>
      <c r="B30" s="52" t="s">
        <v>184</v>
      </c>
      <c r="C30" s="62" t="s">
        <v>88</v>
      </c>
      <c r="D30" s="62" t="s">
        <v>185</v>
      </c>
      <c r="E30" s="51" t="s">
        <v>13</v>
      </c>
      <c r="F30" s="84">
        <f>4.62*26</f>
        <v>120.12</v>
      </c>
      <c r="G30" s="85" t="s">
        <v>274</v>
      </c>
      <c r="J30" s="44"/>
    </row>
    <row r="31" spans="1:10" s="43" customFormat="1" ht="25.5" customHeight="1" x14ac:dyDescent="0.25">
      <c r="A31" s="62" t="s">
        <v>140</v>
      </c>
      <c r="B31" s="52" t="s">
        <v>186</v>
      </c>
      <c r="C31" s="62" t="s">
        <v>87</v>
      </c>
      <c r="D31" s="62" t="s">
        <v>187</v>
      </c>
      <c r="E31" s="51" t="s">
        <v>13</v>
      </c>
      <c r="F31" s="86">
        <f>155*1</f>
        <v>155</v>
      </c>
      <c r="G31" s="83" t="s">
        <v>275</v>
      </c>
      <c r="J31" s="44"/>
    </row>
    <row r="32" spans="1:10" s="43" customFormat="1" ht="25.5" customHeight="1" x14ac:dyDescent="0.25">
      <c r="A32" s="72" t="s">
        <v>12</v>
      </c>
      <c r="B32" s="72"/>
      <c r="C32" s="72"/>
      <c r="D32" s="72" t="s">
        <v>188</v>
      </c>
      <c r="E32" s="72"/>
      <c r="F32" s="82"/>
      <c r="G32" s="81"/>
      <c r="J32" s="44"/>
    </row>
    <row r="33" spans="1:10" s="43" customFormat="1" ht="68.400000000000006" customHeight="1" x14ac:dyDescent="0.25">
      <c r="A33" s="62" t="s">
        <v>141</v>
      </c>
      <c r="B33" s="52" t="s">
        <v>189</v>
      </c>
      <c r="C33" s="62" t="s">
        <v>87</v>
      </c>
      <c r="D33" s="62" t="s">
        <v>190</v>
      </c>
      <c r="E33" s="51" t="s">
        <v>13</v>
      </c>
      <c r="F33" s="162">
        <f>((158.6*13.5)+((73+79+79+74)*1.5)*1.3)</f>
        <v>2735.85</v>
      </c>
      <c r="G33" s="85" t="s">
        <v>276</v>
      </c>
      <c r="J33" s="44"/>
    </row>
    <row r="34" spans="1:10" s="43" customFormat="1" ht="25.5" customHeight="1" x14ac:dyDescent="0.25">
      <c r="A34" s="62" t="s">
        <v>142</v>
      </c>
      <c r="B34" s="52" t="s">
        <v>191</v>
      </c>
      <c r="C34" s="62" t="s">
        <v>87</v>
      </c>
      <c r="D34" s="62" t="s">
        <v>192</v>
      </c>
      <c r="E34" s="51" t="s">
        <v>13</v>
      </c>
      <c r="F34" s="162">
        <f>F33</f>
        <v>2735.85</v>
      </c>
      <c r="G34" s="85" t="str">
        <f>G33</f>
        <v>(158,60m² da área da seção*13,5m de comprimento)+(((73m²+79m²+79m²+74m² da área de talude)*1,5m de altura mediana)*1,3 do empolamento</v>
      </c>
      <c r="J34" s="44"/>
    </row>
    <row r="35" spans="1:10" s="43" customFormat="1" ht="25.5" customHeight="1" x14ac:dyDescent="0.25">
      <c r="A35" s="62" t="s">
        <v>143</v>
      </c>
      <c r="B35" s="52" t="s">
        <v>193</v>
      </c>
      <c r="C35" s="62" t="s">
        <v>87</v>
      </c>
      <c r="D35" s="62" t="s">
        <v>194</v>
      </c>
      <c r="E35" s="51" t="s">
        <v>13</v>
      </c>
      <c r="F35" s="162">
        <f>F33</f>
        <v>2735.85</v>
      </c>
      <c r="G35" s="85" t="str">
        <f>G33</f>
        <v>(158,60m² da área da seção*13,5m de comprimento)+(((73m²+79m²+79m²+74m² da área de talude)*1,5m de altura mediana)*1,3 do empolamento</v>
      </c>
      <c r="J35" s="44"/>
    </row>
    <row r="36" spans="1:10" s="43" customFormat="1" ht="39.6" x14ac:dyDescent="0.25">
      <c r="A36" s="62" t="s">
        <v>144</v>
      </c>
      <c r="B36" s="52" t="s">
        <v>159</v>
      </c>
      <c r="C36" s="62" t="s">
        <v>87</v>
      </c>
      <c r="D36" s="62" t="s">
        <v>160</v>
      </c>
      <c r="E36" s="51" t="s">
        <v>13</v>
      </c>
      <c r="F36" s="162">
        <f>(F30+F31)*1.3</f>
        <v>357.65600000000001</v>
      </c>
      <c r="G36" s="85" t="s">
        <v>278</v>
      </c>
      <c r="J36" s="44"/>
    </row>
    <row r="37" spans="1:10" s="43" customFormat="1" ht="26.4" x14ac:dyDescent="0.25">
      <c r="A37" s="62" t="s">
        <v>145</v>
      </c>
      <c r="B37" s="52" t="s">
        <v>161</v>
      </c>
      <c r="C37" s="62" t="s">
        <v>87</v>
      </c>
      <c r="D37" s="62" t="s">
        <v>162</v>
      </c>
      <c r="E37" s="51" t="s">
        <v>163</v>
      </c>
      <c r="F37" s="162">
        <f>F36*2</f>
        <v>715.31200000000001</v>
      </c>
      <c r="G37" s="85" t="s">
        <v>277</v>
      </c>
      <c r="J37" s="44"/>
    </row>
    <row r="38" spans="1:10" s="43" customFormat="1" ht="25.5" customHeight="1" x14ac:dyDescent="0.25">
      <c r="A38" s="72" t="s">
        <v>14</v>
      </c>
      <c r="B38" s="72"/>
      <c r="C38" s="72"/>
      <c r="D38" s="72" t="s">
        <v>195</v>
      </c>
      <c r="E38" s="72"/>
      <c r="F38" s="82"/>
      <c r="G38" s="81"/>
      <c r="J38" s="44"/>
    </row>
    <row r="39" spans="1:10" s="43" customFormat="1" ht="25.5" customHeight="1" x14ac:dyDescent="0.25">
      <c r="A39" s="72" t="s">
        <v>15</v>
      </c>
      <c r="B39" s="72"/>
      <c r="C39" s="72"/>
      <c r="D39" s="72" t="s">
        <v>196</v>
      </c>
      <c r="E39" s="72"/>
      <c r="F39" s="82"/>
      <c r="G39" s="81"/>
      <c r="J39" s="44"/>
    </row>
    <row r="40" spans="1:10" s="43" customFormat="1" ht="25.5" customHeight="1" x14ac:dyDescent="0.25">
      <c r="A40" s="62" t="s">
        <v>119</v>
      </c>
      <c r="B40" s="52" t="s">
        <v>197</v>
      </c>
      <c r="C40" s="62" t="s">
        <v>87</v>
      </c>
      <c r="D40" s="62" t="s">
        <v>198</v>
      </c>
      <c r="E40" s="51" t="s">
        <v>13</v>
      </c>
      <c r="F40" s="84">
        <f>108.68*0.6</f>
        <v>65.207999999999998</v>
      </c>
      <c r="G40" s="85" t="s">
        <v>279</v>
      </c>
      <c r="J40" s="44"/>
    </row>
    <row r="41" spans="1:10" s="43" customFormat="1" ht="39.6" x14ac:dyDescent="0.25">
      <c r="A41" s="62" t="s">
        <v>120</v>
      </c>
      <c r="B41" s="52" t="s">
        <v>199</v>
      </c>
      <c r="C41" s="62" t="s">
        <v>87</v>
      </c>
      <c r="D41" s="62" t="s">
        <v>200</v>
      </c>
      <c r="E41" s="51" t="s">
        <v>13</v>
      </c>
      <c r="F41" s="84">
        <f>85*0.05</f>
        <v>4.25</v>
      </c>
      <c r="G41" s="85" t="s">
        <v>280</v>
      </c>
      <c r="J41" s="44"/>
    </row>
    <row r="42" spans="1:10" s="43" customFormat="1" ht="26.4" x14ac:dyDescent="0.25">
      <c r="A42" s="62" t="s">
        <v>121</v>
      </c>
      <c r="B42" s="52" t="s">
        <v>201</v>
      </c>
      <c r="C42" s="62" t="s">
        <v>87</v>
      </c>
      <c r="D42" s="62" t="s">
        <v>202</v>
      </c>
      <c r="E42" s="51" t="s">
        <v>6</v>
      </c>
      <c r="F42" s="84">
        <f>85*0.2</f>
        <v>17</v>
      </c>
      <c r="G42" s="85" t="s">
        <v>281</v>
      </c>
      <c r="J42" s="44"/>
    </row>
    <row r="43" spans="1:10" s="43" customFormat="1" ht="13.2" x14ac:dyDescent="0.25">
      <c r="A43" s="72" t="s">
        <v>17</v>
      </c>
      <c r="B43" s="72"/>
      <c r="C43" s="72"/>
      <c r="D43" s="72" t="s">
        <v>203</v>
      </c>
      <c r="E43" s="72"/>
      <c r="F43" s="82"/>
      <c r="G43" s="81"/>
      <c r="J43" s="44"/>
    </row>
    <row r="44" spans="1:10" s="43" customFormat="1" ht="66" x14ac:dyDescent="0.25">
      <c r="A44" s="62" t="s">
        <v>324</v>
      </c>
      <c r="B44" s="52" t="s">
        <v>325</v>
      </c>
      <c r="C44" s="62" t="s">
        <v>326</v>
      </c>
      <c r="D44" s="62" t="s">
        <v>381</v>
      </c>
      <c r="E44" s="51" t="s">
        <v>18</v>
      </c>
      <c r="F44" s="84">
        <v>14</v>
      </c>
      <c r="G44" s="85" t="s">
        <v>282</v>
      </c>
      <c r="J44" s="44"/>
    </row>
    <row r="45" spans="1:10" s="43" customFormat="1" ht="13.2" x14ac:dyDescent="0.25">
      <c r="A45" s="72" t="s">
        <v>204</v>
      </c>
      <c r="B45" s="72"/>
      <c r="C45" s="72"/>
      <c r="D45" s="72" t="s">
        <v>205</v>
      </c>
      <c r="E45" s="72"/>
      <c r="F45" s="82"/>
      <c r="G45" s="81"/>
      <c r="J45" s="44"/>
    </row>
    <row r="46" spans="1:10" s="43" customFormat="1" ht="41.4" x14ac:dyDescent="0.25">
      <c r="A46" s="62" t="s">
        <v>206</v>
      </c>
      <c r="B46" s="52" t="s">
        <v>207</v>
      </c>
      <c r="C46" s="62" t="s">
        <v>87</v>
      </c>
      <c r="D46" s="62" t="s">
        <v>208</v>
      </c>
      <c r="E46" s="51" t="s">
        <v>6</v>
      </c>
      <c r="F46" s="77">
        <f>(14.65*0.2*2)+(5.8*0.3*2*2)</f>
        <v>12.82</v>
      </c>
      <c r="G46" s="48" t="s">
        <v>317</v>
      </c>
      <c r="J46" s="44"/>
    </row>
    <row r="47" spans="1:10" s="43" customFormat="1" ht="27.6" x14ac:dyDescent="0.25">
      <c r="A47" s="62" t="s">
        <v>209</v>
      </c>
      <c r="B47" s="52" t="s">
        <v>91</v>
      </c>
      <c r="C47" s="62" t="s">
        <v>88</v>
      </c>
      <c r="D47" s="62" t="s">
        <v>20</v>
      </c>
      <c r="E47" s="51" t="s">
        <v>118</v>
      </c>
      <c r="F47" s="77">
        <f>(12*2.2*2)</f>
        <v>52.800000000000004</v>
      </c>
      <c r="G47" s="48" t="s">
        <v>318</v>
      </c>
      <c r="J47" s="44"/>
    </row>
    <row r="48" spans="1:10" s="43" customFormat="1" ht="41.4" x14ac:dyDescent="0.25">
      <c r="A48" s="62" t="s">
        <v>210</v>
      </c>
      <c r="B48" s="52" t="s">
        <v>89</v>
      </c>
      <c r="C48" s="62" t="s">
        <v>88</v>
      </c>
      <c r="D48" s="62" t="s">
        <v>16</v>
      </c>
      <c r="E48" s="51" t="s">
        <v>118</v>
      </c>
      <c r="F48" s="77">
        <f>(5.8*0.3*0.3*94*2)</f>
        <v>98.13600000000001</v>
      </c>
      <c r="G48" s="48" t="s">
        <v>319</v>
      </c>
      <c r="J48" s="44"/>
    </row>
    <row r="49" spans="1:10" s="43" customFormat="1" ht="27.6" x14ac:dyDescent="0.25">
      <c r="A49" s="62" t="s">
        <v>211</v>
      </c>
      <c r="B49" s="52" t="s">
        <v>212</v>
      </c>
      <c r="C49" s="62" t="s">
        <v>88</v>
      </c>
      <c r="D49" s="62" t="s">
        <v>213</v>
      </c>
      <c r="E49" s="51" t="s">
        <v>13</v>
      </c>
      <c r="F49" s="77">
        <f>((12*0.2)+(5.8*0.3*0.3))*2</f>
        <v>5.8440000000000012</v>
      </c>
      <c r="G49" s="48" t="s">
        <v>320</v>
      </c>
      <c r="J49" s="44"/>
    </row>
    <row r="50" spans="1:10" s="43" customFormat="1" ht="13.2" x14ac:dyDescent="0.25">
      <c r="A50" s="72" t="s">
        <v>214</v>
      </c>
      <c r="B50" s="72"/>
      <c r="C50" s="72"/>
      <c r="D50" s="72" t="s">
        <v>215</v>
      </c>
      <c r="E50" s="72"/>
      <c r="F50" s="82"/>
      <c r="G50" s="81"/>
      <c r="J50" s="44"/>
    </row>
    <row r="51" spans="1:10" s="43" customFormat="1" ht="39.6" x14ac:dyDescent="0.25">
      <c r="A51" s="62" t="s">
        <v>216</v>
      </c>
      <c r="B51" s="52" t="s">
        <v>217</v>
      </c>
      <c r="C51" s="62" t="s">
        <v>87</v>
      </c>
      <c r="D51" s="62" t="s">
        <v>218</v>
      </c>
      <c r="E51" s="51" t="s">
        <v>19</v>
      </c>
      <c r="F51" s="84">
        <f>12*2</f>
        <v>24</v>
      </c>
      <c r="G51" s="85" t="s">
        <v>283</v>
      </c>
      <c r="J51" s="44"/>
    </row>
    <row r="52" spans="1:10" s="43" customFormat="1" ht="13.8" x14ac:dyDescent="0.25">
      <c r="A52" s="62" t="s">
        <v>219</v>
      </c>
      <c r="B52" s="52" t="s">
        <v>220</v>
      </c>
      <c r="C52" s="62" t="s">
        <v>88</v>
      </c>
      <c r="D52" s="62" t="s">
        <v>221</v>
      </c>
      <c r="E52" s="51" t="s">
        <v>6</v>
      </c>
      <c r="F52" s="84">
        <f>(0.6*2.5) * 12</f>
        <v>18</v>
      </c>
      <c r="G52" s="85" t="s">
        <v>284</v>
      </c>
      <c r="J52" s="44"/>
    </row>
    <row r="53" spans="1:10" s="43" customFormat="1" ht="27.6" x14ac:dyDescent="0.25">
      <c r="A53" s="62" t="s">
        <v>222</v>
      </c>
      <c r="B53" s="52" t="s">
        <v>327</v>
      </c>
      <c r="C53" s="62" t="s">
        <v>87</v>
      </c>
      <c r="D53" s="62" t="s">
        <v>328</v>
      </c>
      <c r="E53" s="51" t="s">
        <v>28</v>
      </c>
      <c r="F53" s="84">
        <f>(14*8*2*2)*0.245</f>
        <v>109.75999999999999</v>
      </c>
      <c r="G53" s="85" t="s">
        <v>285</v>
      </c>
      <c r="J53" s="44"/>
    </row>
    <row r="54" spans="1:10" s="43" customFormat="1" ht="41.4" x14ac:dyDescent="0.25">
      <c r="A54" s="62" t="s">
        <v>223</v>
      </c>
      <c r="B54" s="52" t="s">
        <v>329</v>
      </c>
      <c r="C54" s="62" t="s">
        <v>87</v>
      </c>
      <c r="D54" s="62" t="s">
        <v>330</v>
      </c>
      <c r="E54" s="51" t="s">
        <v>28</v>
      </c>
      <c r="F54" s="84">
        <f>((0.49*36*2)*0.395)+((3*9*2*4)*0.395)</f>
        <v>99.255600000000015</v>
      </c>
      <c r="G54" s="85" t="s">
        <v>286</v>
      </c>
      <c r="J54" s="44"/>
    </row>
    <row r="55" spans="1:10" s="43" customFormat="1" ht="41.4" x14ac:dyDescent="0.25">
      <c r="A55" s="62" t="s">
        <v>224</v>
      </c>
      <c r="B55" s="52" t="s">
        <v>331</v>
      </c>
      <c r="C55" s="62" t="s">
        <v>87</v>
      </c>
      <c r="D55" s="62" t="s">
        <v>332</v>
      </c>
      <c r="E55" s="51" t="s">
        <v>28</v>
      </c>
      <c r="F55" s="84">
        <f>((70*1.32*2)*0.617)+((3.3*15*4)*0.617)</f>
        <v>236.1876</v>
      </c>
      <c r="G55" s="85" t="s">
        <v>287</v>
      </c>
      <c r="J55" s="44"/>
    </row>
    <row r="56" spans="1:10" s="43" customFormat="1" ht="13.8" x14ac:dyDescent="0.25">
      <c r="A56" s="62" t="s">
        <v>227</v>
      </c>
      <c r="B56" s="52" t="s">
        <v>212</v>
      </c>
      <c r="C56" s="62" t="s">
        <v>88</v>
      </c>
      <c r="D56" s="62" t="s">
        <v>213</v>
      </c>
      <c r="E56" s="51" t="s">
        <v>13</v>
      </c>
      <c r="F56" s="84">
        <f>0.4*2.5*12</f>
        <v>12</v>
      </c>
      <c r="G56" s="85" t="s">
        <v>288</v>
      </c>
      <c r="J56" s="44"/>
    </row>
    <row r="57" spans="1:10" s="43" customFormat="1" ht="27.6" x14ac:dyDescent="0.25">
      <c r="A57" s="62" t="s">
        <v>230</v>
      </c>
      <c r="B57" s="52" t="s">
        <v>225</v>
      </c>
      <c r="C57" s="62" t="s">
        <v>88</v>
      </c>
      <c r="D57" s="62" t="s">
        <v>226</v>
      </c>
      <c r="E57" s="51" t="s">
        <v>6</v>
      </c>
      <c r="F57" s="84">
        <f>0.4*2.5*12</f>
        <v>12</v>
      </c>
      <c r="G57" s="85" t="s">
        <v>289</v>
      </c>
      <c r="J57" s="44"/>
    </row>
    <row r="58" spans="1:10" s="43" customFormat="1" ht="96.6" x14ac:dyDescent="0.25">
      <c r="A58" s="62" t="s">
        <v>233</v>
      </c>
      <c r="B58" s="52" t="s">
        <v>228</v>
      </c>
      <c r="C58" s="62" t="s">
        <v>87</v>
      </c>
      <c r="D58" s="62" t="s">
        <v>229</v>
      </c>
      <c r="E58" s="51" t="s">
        <v>13</v>
      </c>
      <c r="F58" s="84">
        <f>(((12*0.01143*2)+(15*(1+1.4)*0.01275))*2)+(((7*3.35*0.01143)+(3*2.75*0.01275))*4)</f>
        <v>2.959524</v>
      </c>
      <c r="G58" s="85" t="s">
        <v>290</v>
      </c>
      <c r="J58" s="44"/>
    </row>
    <row r="59" spans="1:10" s="43" customFormat="1" ht="41.4" x14ac:dyDescent="0.25">
      <c r="A59" s="62" t="s">
        <v>236</v>
      </c>
      <c r="B59" s="52" t="s">
        <v>231</v>
      </c>
      <c r="C59" s="62" t="s">
        <v>87</v>
      </c>
      <c r="D59" s="62" t="s">
        <v>232</v>
      </c>
      <c r="E59" s="51" t="s">
        <v>6</v>
      </c>
      <c r="F59" s="84">
        <f>(8.4*4)+((0.2)*14*2)</f>
        <v>39.200000000000003</v>
      </c>
      <c r="G59" s="85" t="s">
        <v>291</v>
      </c>
      <c r="J59" s="44"/>
    </row>
    <row r="60" spans="1:10" s="43" customFormat="1" ht="41.4" x14ac:dyDescent="0.25">
      <c r="A60" s="62" t="s">
        <v>239</v>
      </c>
      <c r="B60" s="52" t="s">
        <v>234</v>
      </c>
      <c r="C60" s="62" t="s">
        <v>87</v>
      </c>
      <c r="D60" s="62" t="s">
        <v>235</v>
      </c>
      <c r="E60" s="51" t="s">
        <v>13</v>
      </c>
      <c r="F60" s="84">
        <f>((8.4*4)+((0.6)*14*2))*2*0.01</f>
        <v>1.0080000000000002</v>
      </c>
      <c r="G60" s="85" t="s">
        <v>292</v>
      </c>
      <c r="J60" s="44"/>
    </row>
    <row r="61" spans="1:10" s="43" customFormat="1" ht="52.8" x14ac:dyDescent="0.25">
      <c r="A61" s="62" t="s">
        <v>333</v>
      </c>
      <c r="B61" s="52" t="s">
        <v>237</v>
      </c>
      <c r="C61" s="62" t="s">
        <v>87</v>
      </c>
      <c r="D61" s="62" t="s">
        <v>238</v>
      </c>
      <c r="E61" s="51" t="s">
        <v>13</v>
      </c>
      <c r="F61" s="84">
        <f>((8.4*4)+((0.6)*14*2))*2*0.02</f>
        <v>2.0160000000000005</v>
      </c>
      <c r="G61" s="85" t="s">
        <v>293</v>
      </c>
      <c r="J61" s="44"/>
    </row>
    <row r="62" spans="1:10" s="43" customFormat="1" ht="27.6" x14ac:dyDescent="0.25">
      <c r="A62" s="62" t="s">
        <v>334</v>
      </c>
      <c r="B62" s="52" t="s">
        <v>240</v>
      </c>
      <c r="C62" s="62" t="s">
        <v>87</v>
      </c>
      <c r="D62" s="62" t="s">
        <v>241</v>
      </c>
      <c r="E62" s="51" t="s">
        <v>6</v>
      </c>
      <c r="F62" s="84">
        <f>((8.4*4)+((0.6)*14*2*4))</f>
        <v>100.80000000000001</v>
      </c>
      <c r="G62" s="85" t="s">
        <v>294</v>
      </c>
      <c r="J62" s="44"/>
    </row>
    <row r="63" spans="1:10" s="43" customFormat="1" ht="13.2" x14ac:dyDescent="0.25">
      <c r="A63" s="72" t="s">
        <v>242</v>
      </c>
      <c r="B63" s="72"/>
      <c r="C63" s="72"/>
      <c r="D63" s="72" t="s">
        <v>243</v>
      </c>
      <c r="E63" s="72"/>
      <c r="F63" s="82"/>
      <c r="G63" s="81"/>
      <c r="J63" s="44"/>
    </row>
    <row r="64" spans="1:10" s="43" customFormat="1" ht="52.8" x14ac:dyDescent="0.25">
      <c r="A64" s="62" t="s">
        <v>244</v>
      </c>
      <c r="B64" s="52" t="s">
        <v>245</v>
      </c>
      <c r="C64" s="62" t="s">
        <v>87</v>
      </c>
      <c r="D64" s="62" t="s">
        <v>246</v>
      </c>
      <c r="E64" s="51" t="s">
        <v>19</v>
      </c>
      <c r="F64" s="86">
        <v>86</v>
      </c>
      <c r="G64" s="86" t="s">
        <v>296</v>
      </c>
      <c r="J64" s="44"/>
    </row>
    <row r="65" spans="1:10" s="43" customFormat="1" ht="25.5" customHeight="1" x14ac:dyDescent="0.25">
      <c r="A65" s="62" t="s">
        <v>247</v>
      </c>
      <c r="B65" s="52" t="s">
        <v>248</v>
      </c>
      <c r="C65" s="62" t="s">
        <v>87</v>
      </c>
      <c r="D65" s="62" t="s">
        <v>249</v>
      </c>
      <c r="E65" s="51" t="s">
        <v>6</v>
      </c>
      <c r="F65" s="86">
        <f>(23.5+20.65+26+17)</f>
        <v>87.15</v>
      </c>
      <c r="G65" s="86" t="s">
        <v>295</v>
      </c>
      <c r="J65" s="44"/>
    </row>
    <row r="66" spans="1:10" s="43" customFormat="1" ht="25.5" customHeight="1" x14ac:dyDescent="0.25">
      <c r="A66" s="62" t="s">
        <v>250</v>
      </c>
      <c r="B66" s="52" t="s">
        <v>251</v>
      </c>
      <c r="C66" s="62" t="s">
        <v>87</v>
      </c>
      <c r="D66" s="62" t="s">
        <v>252</v>
      </c>
      <c r="E66" s="51" t="s">
        <v>13</v>
      </c>
      <c r="F66" s="86">
        <f>795*0.15</f>
        <v>119.25</v>
      </c>
      <c r="G66" s="90" t="s">
        <v>300</v>
      </c>
      <c r="J66" s="44"/>
    </row>
    <row r="67" spans="1:10" s="43" customFormat="1" ht="25.5" customHeight="1" x14ac:dyDescent="0.25">
      <c r="A67" s="62" t="s">
        <v>253</v>
      </c>
      <c r="B67" s="52" t="s">
        <v>335</v>
      </c>
      <c r="C67" s="62" t="s">
        <v>88</v>
      </c>
      <c r="D67" s="62" t="s">
        <v>122</v>
      </c>
      <c r="E67" s="51" t="s">
        <v>6</v>
      </c>
      <c r="F67" s="86">
        <f>795</f>
        <v>795</v>
      </c>
      <c r="G67" s="90" t="s">
        <v>301</v>
      </c>
      <c r="J67" s="44"/>
    </row>
    <row r="68" spans="1:10" s="43" customFormat="1" ht="26.4" x14ac:dyDescent="0.25">
      <c r="A68" s="62" t="s">
        <v>256</v>
      </c>
      <c r="B68" s="52" t="s">
        <v>336</v>
      </c>
      <c r="C68" s="62" t="s">
        <v>87</v>
      </c>
      <c r="D68" s="62" t="s">
        <v>297</v>
      </c>
      <c r="E68" s="51" t="s">
        <v>6</v>
      </c>
      <c r="F68" s="86">
        <f>795</f>
        <v>795</v>
      </c>
      <c r="G68" s="90" t="s">
        <v>301</v>
      </c>
      <c r="J68" s="44"/>
    </row>
    <row r="69" spans="1:10" s="43" customFormat="1" ht="39.6" x14ac:dyDescent="0.25">
      <c r="A69" s="62" t="s">
        <v>259</v>
      </c>
      <c r="B69" s="52" t="s">
        <v>337</v>
      </c>
      <c r="C69" s="62" t="s">
        <v>87</v>
      </c>
      <c r="D69" s="62" t="s">
        <v>298</v>
      </c>
      <c r="E69" s="51" t="s">
        <v>13</v>
      </c>
      <c r="F69" s="86">
        <f>795*0.04</f>
        <v>31.8</v>
      </c>
      <c r="G69" s="90" t="s">
        <v>302</v>
      </c>
      <c r="J69" s="44"/>
    </row>
    <row r="70" spans="1:10" s="43" customFormat="1" ht="39.6" x14ac:dyDescent="0.25">
      <c r="A70" s="62" t="s">
        <v>338</v>
      </c>
      <c r="B70" s="52" t="s">
        <v>339</v>
      </c>
      <c r="C70" s="62" t="s">
        <v>87</v>
      </c>
      <c r="D70" s="62" t="s">
        <v>299</v>
      </c>
      <c r="E70" s="51" t="s">
        <v>13</v>
      </c>
      <c r="F70" s="86">
        <f>795*0.03</f>
        <v>23.849999999999998</v>
      </c>
      <c r="G70" s="90" t="s">
        <v>303</v>
      </c>
      <c r="J70" s="44"/>
    </row>
    <row r="71" spans="1:10" s="43" customFormat="1" ht="52.8" x14ac:dyDescent="0.25">
      <c r="A71" s="62" t="s">
        <v>340</v>
      </c>
      <c r="B71" s="52" t="s">
        <v>257</v>
      </c>
      <c r="C71" s="62" t="s">
        <v>87</v>
      </c>
      <c r="D71" s="62" t="s">
        <v>258</v>
      </c>
      <c r="E71" s="51" t="s">
        <v>13</v>
      </c>
      <c r="F71" s="86">
        <f>(F66+F69+F70)</f>
        <v>174.9</v>
      </c>
      <c r="G71" s="90" t="s">
        <v>321</v>
      </c>
      <c r="J71" s="44"/>
    </row>
    <row r="72" spans="1:10" s="43" customFormat="1" ht="27.6" x14ac:dyDescent="0.25">
      <c r="A72" s="62" t="s">
        <v>341</v>
      </c>
      <c r="B72" s="52" t="s">
        <v>260</v>
      </c>
      <c r="C72" s="62" t="s">
        <v>87</v>
      </c>
      <c r="D72" s="62" t="s">
        <v>261</v>
      </c>
      <c r="E72" s="51" t="s">
        <v>163</v>
      </c>
      <c r="F72" s="86">
        <f>F71*60</f>
        <v>10494</v>
      </c>
      <c r="G72" s="90" t="s">
        <v>322</v>
      </c>
      <c r="J72" s="44"/>
    </row>
    <row r="73" spans="1:10" s="43" customFormat="1" ht="13.2" x14ac:dyDescent="0.25">
      <c r="A73" s="72" t="s">
        <v>262</v>
      </c>
      <c r="B73" s="72"/>
      <c r="C73" s="72"/>
      <c r="D73" s="72" t="s">
        <v>323</v>
      </c>
      <c r="E73" s="72"/>
      <c r="F73" s="82">
        <v>412</v>
      </c>
      <c r="G73" s="81"/>
      <c r="J73" s="44"/>
    </row>
    <row r="74" spans="1:10" s="43" customFormat="1" ht="39.6" x14ac:dyDescent="0.25">
      <c r="A74" s="62" t="s">
        <v>263</v>
      </c>
      <c r="B74" s="52" t="s">
        <v>254</v>
      </c>
      <c r="C74" s="62" t="s">
        <v>87</v>
      </c>
      <c r="D74" s="62" t="s">
        <v>255</v>
      </c>
      <c r="E74" s="51" t="s">
        <v>13</v>
      </c>
      <c r="F74" s="86">
        <f>F73*0.05</f>
        <v>20.6</v>
      </c>
      <c r="G74" s="85" t="s">
        <v>308</v>
      </c>
      <c r="J74" s="44"/>
    </row>
    <row r="75" spans="1:10" s="43" customFormat="1" ht="27.6" x14ac:dyDescent="0.25">
      <c r="A75" s="62" t="s">
        <v>264</v>
      </c>
      <c r="B75" s="52" t="s">
        <v>342</v>
      </c>
      <c r="C75" s="62" t="s">
        <v>87</v>
      </c>
      <c r="D75" s="62" t="s">
        <v>305</v>
      </c>
      <c r="E75" s="51" t="s">
        <v>28</v>
      </c>
      <c r="F75" s="86">
        <f>F73*1.48</f>
        <v>609.76</v>
      </c>
      <c r="G75" s="85" t="s">
        <v>309</v>
      </c>
      <c r="J75" s="44"/>
    </row>
    <row r="76" spans="1:10" s="43" customFormat="1" ht="39.6" x14ac:dyDescent="0.25">
      <c r="A76" s="62" t="s">
        <v>343</v>
      </c>
      <c r="B76" s="52" t="s">
        <v>344</v>
      </c>
      <c r="C76" s="62" t="s">
        <v>87</v>
      </c>
      <c r="D76" s="62" t="s">
        <v>306</v>
      </c>
      <c r="E76" s="51" t="s">
        <v>13</v>
      </c>
      <c r="F76" s="86">
        <f>F73*0.07</f>
        <v>28.840000000000003</v>
      </c>
      <c r="G76" s="85" t="s">
        <v>310</v>
      </c>
      <c r="J76" s="44"/>
    </row>
    <row r="77" spans="1:10" s="43" customFormat="1" ht="27.6" x14ac:dyDescent="0.25">
      <c r="A77" s="62" t="s">
        <v>345</v>
      </c>
      <c r="B77" s="52" t="s">
        <v>346</v>
      </c>
      <c r="C77" s="62" t="s">
        <v>88</v>
      </c>
      <c r="D77" s="62" t="s">
        <v>307</v>
      </c>
      <c r="E77" s="51" t="s">
        <v>19</v>
      </c>
      <c r="F77" s="86">
        <f>F73*0.4</f>
        <v>164.8</v>
      </c>
      <c r="G77" s="85" t="s">
        <v>311</v>
      </c>
      <c r="J77" s="44"/>
    </row>
    <row r="78" spans="1:10" s="43" customFormat="1" ht="13.2" x14ac:dyDescent="0.25">
      <c r="A78" s="72" t="s">
        <v>347</v>
      </c>
      <c r="B78" s="72"/>
      <c r="C78" s="72"/>
      <c r="D78" s="72" t="s">
        <v>21</v>
      </c>
      <c r="E78" s="72"/>
      <c r="F78" s="82"/>
      <c r="G78" s="81"/>
      <c r="J78" s="44"/>
    </row>
    <row r="79" spans="1:10" s="43" customFormat="1" ht="27.6" x14ac:dyDescent="0.25">
      <c r="A79" s="62" t="s">
        <v>348</v>
      </c>
      <c r="B79" s="52" t="s">
        <v>92</v>
      </c>
      <c r="C79" s="62" t="s">
        <v>88</v>
      </c>
      <c r="D79" s="62" t="s">
        <v>22</v>
      </c>
      <c r="E79" s="51" t="s">
        <v>6</v>
      </c>
      <c r="F79" s="86">
        <f>(795+412)*0.5</f>
        <v>603.5</v>
      </c>
      <c r="G79" s="85" t="s">
        <v>312</v>
      </c>
      <c r="J79" s="44"/>
    </row>
    <row r="80" spans="1:10" s="43" customFormat="1" ht="52.8" x14ac:dyDescent="0.25">
      <c r="A80" s="62" t="s">
        <v>349</v>
      </c>
      <c r="B80" s="52" t="s">
        <v>265</v>
      </c>
      <c r="C80" s="62" t="s">
        <v>87</v>
      </c>
      <c r="D80" s="62" t="s">
        <v>266</v>
      </c>
      <c r="E80" s="51" t="s">
        <v>19</v>
      </c>
      <c r="F80" s="86">
        <f>3*2</f>
        <v>6</v>
      </c>
      <c r="G80" s="85" t="s">
        <v>313</v>
      </c>
      <c r="J80" s="44"/>
    </row>
    <row r="81" spans="1:10" s="43" customFormat="1" ht="25.5" customHeight="1" x14ac:dyDescent="0.25">
      <c r="A81" s="87"/>
      <c r="B81" s="87"/>
      <c r="C81" s="87"/>
      <c r="D81" s="87"/>
      <c r="E81" s="87"/>
      <c r="F81" s="88"/>
      <c r="G81" s="87"/>
      <c r="J81" s="44"/>
    </row>
    <row r="82" spans="1:10" ht="58.5" customHeight="1" x14ac:dyDescent="0.25">
      <c r="A82" s="192" t="s">
        <v>304</v>
      </c>
      <c r="B82" s="185"/>
      <c r="C82" s="185"/>
      <c r="D82" s="185"/>
      <c r="E82" s="185"/>
      <c r="F82" s="185"/>
      <c r="G82" s="185"/>
    </row>
    <row r="83" spans="1:10" x14ac:dyDescent="0.25">
      <c r="A83" s="89"/>
      <c r="B83" s="89"/>
      <c r="C83" s="89"/>
      <c r="D83" s="89"/>
      <c r="E83" s="89"/>
      <c r="F83" s="84"/>
      <c r="G83" s="89"/>
    </row>
    <row r="84" spans="1:10" x14ac:dyDescent="0.25">
      <c r="A84" s="89"/>
      <c r="B84" s="89"/>
      <c r="C84" s="89"/>
      <c r="D84" s="89"/>
      <c r="E84" s="89"/>
      <c r="F84" s="84"/>
      <c r="G84" s="89"/>
    </row>
    <row r="85" spans="1:10" x14ac:dyDescent="0.25">
      <c r="A85" s="89"/>
      <c r="B85" s="89"/>
      <c r="C85" s="89"/>
      <c r="D85" s="89"/>
      <c r="E85" s="89"/>
      <c r="F85" s="84"/>
      <c r="G85" s="89"/>
    </row>
    <row r="86" spans="1:10" x14ac:dyDescent="0.25">
      <c r="A86" s="89"/>
      <c r="B86" s="89"/>
      <c r="C86" s="89"/>
      <c r="D86" s="89"/>
      <c r="E86" s="89"/>
      <c r="F86" s="84"/>
      <c r="G86" s="89"/>
    </row>
    <row r="87" spans="1:10" x14ac:dyDescent="0.25">
      <c r="A87" s="89"/>
      <c r="B87" s="89"/>
      <c r="C87" s="89"/>
      <c r="D87" s="89"/>
      <c r="E87" s="89"/>
      <c r="F87" s="84"/>
      <c r="G87" s="89"/>
    </row>
    <row r="88" spans="1:10" x14ac:dyDescent="0.25">
      <c r="A88" s="89"/>
      <c r="B88" s="89"/>
      <c r="C88" s="89"/>
      <c r="D88" s="89"/>
      <c r="E88" s="89"/>
      <c r="F88" s="84"/>
      <c r="G88" s="89"/>
    </row>
    <row r="89" spans="1:10" x14ac:dyDescent="0.25">
      <c r="A89" s="89"/>
      <c r="B89" s="89"/>
      <c r="C89" s="89"/>
      <c r="D89" s="89"/>
      <c r="E89" s="89"/>
      <c r="F89" s="84"/>
      <c r="G89" s="89"/>
    </row>
    <row r="90" spans="1:10" x14ac:dyDescent="0.25">
      <c r="A90" s="89"/>
      <c r="B90" s="89"/>
      <c r="C90" s="89"/>
      <c r="D90" s="89"/>
      <c r="E90" s="89"/>
      <c r="F90" s="84"/>
      <c r="G90" s="89"/>
    </row>
    <row r="91" spans="1:10" x14ac:dyDescent="0.25">
      <c r="A91" s="89"/>
      <c r="B91" s="89"/>
      <c r="C91" s="89"/>
      <c r="D91" s="89"/>
      <c r="E91" s="89"/>
      <c r="F91" s="84"/>
      <c r="G91" s="89"/>
    </row>
    <row r="92" spans="1:10" x14ac:dyDescent="0.25">
      <c r="A92" s="89"/>
      <c r="B92" s="89"/>
      <c r="C92" s="89"/>
      <c r="D92" s="89"/>
      <c r="E92" s="89"/>
      <c r="F92" s="84"/>
      <c r="G92" s="89"/>
    </row>
    <row r="93" spans="1:10" x14ac:dyDescent="0.25">
      <c r="A93" s="89"/>
      <c r="B93" s="89"/>
      <c r="C93" s="89"/>
      <c r="D93" s="89"/>
      <c r="E93" s="89"/>
      <c r="F93" s="84"/>
      <c r="G93" s="89"/>
    </row>
    <row r="94" spans="1:10" x14ac:dyDescent="0.25">
      <c r="A94" s="89"/>
      <c r="B94" s="89"/>
      <c r="C94" s="89"/>
      <c r="D94" s="89"/>
      <c r="E94" s="89"/>
      <c r="F94" s="84"/>
      <c r="G94" s="89"/>
    </row>
    <row r="95" spans="1:10" x14ac:dyDescent="0.25">
      <c r="A95" s="89"/>
      <c r="B95" s="89"/>
      <c r="C95" s="89"/>
      <c r="D95" s="89"/>
      <c r="E95" s="89"/>
      <c r="F95" s="84"/>
      <c r="G95" s="89"/>
    </row>
    <row r="96" spans="1:10" x14ac:dyDescent="0.25">
      <c r="A96" s="89"/>
      <c r="B96" s="89"/>
      <c r="C96" s="89"/>
      <c r="D96" s="89"/>
      <c r="E96" s="89"/>
      <c r="F96" s="84"/>
      <c r="G96" s="89"/>
    </row>
    <row r="97" spans="1:7" x14ac:dyDescent="0.25">
      <c r="A97" s="89"/>
      <c r="B97" s="89"/>
      <c r="C97" s="89"/>
      <c r="D97" s="89"/>
      <c r="E97" s="89"/>
      <c r="F97" s="84"/>
      <c r="G97" s="89"/>
    </row>
    <row r="98" spans="1:7" x14ac:dyDescent="0.25">
      <c r="A98" s="89"/>
      <c r="B98" s="89"/>
      <c r="C98" s="89"/>
      <c r="D98" s="89"/>
      <c r="E98" s="89"/>
      <c r="F98" s="84"/>
      <c r="G98" s="89"/>
    </row>
    <row r="99" spans="1:7" x14ac:dyDescent="0.25">
      <c r="A99" s="89"/>
      <c r="B99" s="89"/>
      <c r="C99" s="89"/>
      <c r="D99" s="89"/>
      <c r="E99" s="89"/>
      <c r="F99" s="84"/>
      <c r="G99" s="89"/>
    </row>
    <row r="100" spans="1:7" x14ac:dyDescent="0.25">
      <c r="A100" s="89"/>
      <c r="B100" s="89"/>
      <c r="C100" s="89"/>
      <c r="D100" s="89"/>
      <c r="E100" s="89"/>
      <c r="F100" s="84"/>
      <c r="G100" s="89"/>
    </row>
    <row r="101" spans="1:7" x14ac:dyDescent="0.25">
      <c r="A101" s="89"/>
      <c r="B101" s="89"/>
      <c r="C101" s="89"/>
      <c r="D101" s="89"/>
      <c r="E101" s="89"/>
      <c r="F101" s="84"/>
      <c r="G101" s="89"/>
    </row>
    <row r="102" spans="1:7" x14ac:dyDescent="0.25">
      <c r="A102" s="89"/>
      <c r="B102" s="89"/>
      <c r="C102" s="89"/>
      <c r="D102" s="89"/>
      <c r="E102" s="89"/>
      <c r="F102" s="84"/>
      <c r="G102" s="89"/>
    </row>
    <row r="103" spans="1:7" x14ac:dyDescent="0.25">
      <c r="A103" s="89"/>
      <c r="B103" s="89"/>
      <c r="C103" s="89"/>
      <c r="D103" s="89"/>
      <c r="E103" s="89"/>
      <c r="F103" s="84"/>
      <c r="G103" s="89"/>
    </row>
    <row r="104" spans="1:7" x14ac:dyDescent="0.25">
      <c r="A104" s="89"/>
      <c r="B104" s="89"/>
      <c r="C104" s="89"/>
      <c r="D104" s="89"/>
      <c r="E104" s="89"/>
      <c r="F104" s="84"/>
      <c r="G104" s="89"/>
    </row>
    <row r="105" spans="1:7" x14ac:dyDescent="0.25">
      <c r="A105" s="89"/>
      <c r="B105" s="89"/>
      <c r="C105" s="89"/>
      <c r="D105" s="89"/>
      <c r="E105" s="89"/>
      <c r="F105" s="84"/>
      <c r="G105" s="89"/>
    </row>
    <row r="106" spans="1:7" x14ac:dyDescent="0.25">
      <c r="A106" s="89"/>
      <c r="B106" s="89"/>
      <c r="C106" s="89"/>
      <c r="D106" s="89"/>
      <c r="E106" s="89"/>
      <c r="F106" s="84"/>
      <c r="G106" s="89"/>
    </row>
    <row r="107" spans="1:7" x14ac:dyDescent="0.25">
      <c r="A107" s="89"/>
      <c r="B107" s="89"/>
      <c r="C107" s="89"/>
      <c r="D107" s="89"/>
      <c r="E107" s="89"/>
      <c r="F107" s="84"/>
      <c r="G107" s="89"/>
    </row>
    <row r="108" spans="1:7" x14ac:dyDescent="0.25">
      <c r="A108" s="89"/>
      <c r="B108" s="89"/>
      <c r="C108" s="89"/>
      <c r="D108" s="89"/>
      <c r="E108" s="89"/>
      <c r="F108" s="84"/>
      <c r="G108" s="89"/>
    </row>
    <row r="109" spans="1:7" x14ac:dyDescent="0.25">
      <c r="A109" s="89"/>
      <c r="B109" s="89"/>
      <c r="C109" s="89"/>
      <c r="D109" s="89"/>
      <c r="E109" s="89"/>
      <c r="F109" s="84"/>
      <c r="G109" s="89"/>
    </row>
    <row r="110" spans="1:7" x14ac:dyDescent="0.25">
      <c r="A110" s="89"/>
      <c r="B110" s="89"/>
      <c r="C110" s="89"/>
      <c r="D110" s="89"/>
      <c r="E110" s="89"/>
      <c r="F110" s="84"/>
      <c r="G110" s="89"/>
    </row>
    <row r="111" spans="1:7" x14ac:dyDescent="0.25">
      <c r="A111" s="89"/>
      <c r="B111" s="89"/>
      <c r="C111" s="89"/>
      <c r="D111" s="89"/>
      <c r="E111" s="89"/>
      <c r="F111" s="84"/>
      <c r="G111" s="89"/>
    </row>
    <row r="112" spans="1:7" x14ac:dyDescent="0.25">
      <c r="A112" s="89"/>
      <c r="B112" s="89"/>
      <c r="C112" s="89"/>
      <c r="D112" s="89"/>
      <c r="E112" s="89"/>
      <c r="F112" s="84"/>
      <c r="G112" s="89"/>
    </row>
    <row r="113" spans="1:7" x14ac:dyDescent="0.25">
      <c r="A113" s="89"/>
      <c r="B113" s="89"/>
      <c r="C113" s="89"/>
      <c r="D113" s="89"/>
      <c r="E113" s="89"/>
      <c r="F113" s="84"/>
      <c r="G113" s="89"/>
    </row>
    <row r="114" spans="1:7" x14ac:dyDescent="0.25">
      <c r="A114" s="89"/>
      <c r="B114" s="89"/>
      <c r="C114" s="89"/>
      <c r="D114" s="89"/>
      <c r="E114" s="89"/>
      <c r="F114" s="84"/>
      <c r="G114" s="89"/>
    </row>
    <row r="115" spans="1:7" x14ac:dyDescent="0.25">
      <c r="A115" s="89"/>
      <c r="B115" s="89"/>
      <c r="C115" s="89"/>
      <c r="D115" s="89"/>
      <c r="E115" s="89"/>
      <c r="F115" s="84"/>
      <c r="G115" s="89"/>
    </row>
    <row r="116" spans="1:7" x14ac:dyDescent="0.25">
      <c r="A116" s="89"/>
      <c r="B116" s="89"/>
      <c r="C116" s="89"/>
      <c r="D116" s="89"/>
      <c r="E116" s="89"/>
      <c r="F116" s="84"/>
      <c r="G116" s="89"/>
    </row>
    <row r="117" spans="1:7" x14ac:dyDescent="0.25">
      <c r="A117" s="89"/>
      <c r="B117" s="89"/>
      <c r="C117" s="89"/>
      <c r="D117" s="89"/>
      <c r="E117" s="89"/>
      <c r="F117" s="84"/>
      <c r="G117" s="89"/>
    </row>
    <row r="118" spans="1:7" x14ac:dyDescent="0.25">
      <c r="A118" s="89"/>
      <c r="B118" s="89"/>
      <c r="C118" s="89"/>
      <c r="D118" s="89"/>
      <c r="E118" s="89"/>
      <c r="F118" s="84"/>
      <c r="G118" s="89"/>
    </row>
    <row r="119" spans="1:7" x14ac:dyDescent="0.25">
      <c r="A119" s="89"/>
      <c r="B119" s="89"/>
      <c r="C119" s="89"/>
      <c r="D119" s="89"/>
      <c r="E119" s="89"/>
      <c r="F119" s="84"/>
      <c r="G119" s="89"/>
    </row>
    <row r="120" spans="1:7" x14ac:dyDescent="0.25">
      <c r="A120" s="89"/>
      <c r="B120" s="89"/>
      <c r="C120" s="89"/>
      <c r="D120" s="89"/>
      <c r="E120" s="89"/>
      <c r="F120" s="84"/>
      <c r="G120" s="89"/>
    </row>
    <row r="121" spans="1:7" x14ac:dyDescent="0.25">
      <c r="A121" s="89"/>
      <c r="B121" s="89"/>
      <c r="C121" s="89"/>
      <c r="D121" s="89"/>
      <c r="E121" s="89"/>
      <c r="F121" s="84"/>
      <c r="G121" s="89"/>
    </row>
    <row r="122" spans="1:7" x14ac:dyDescent="0.25">
      <c r="A122" s="89"/>
      <c r="B122" s="89"/>
      <c r="C122" s="89"/>
      <c r="D122" s="89"/>
      <c r="E122" s="89"/>
      <c r="F122" s="84"/>
      <c r="G122" s="89"/>
    </row>
    <row r="123" spans="1:7" x14ac:dyDescent="0.25">
      <c r="A123" s="89"/>
      <c r="B123" s="89"/>
      <c r="C123" s="89"/>
      <c r="D123" s="89"/>
      <c r="E123" s="89"/>
      <c r="F123" s="84"/>
      <c r="G123" s="89"/>
    </row>
    <row r="124" spans="1:7" x14ac:dyDescent="0.25">
      <c r="A124" s="89"/>
      <c r="B124" s="89"/>
      <c r="C124" s="89"/>
      <c r="D124" s="89"/>
      <c r="E124" s="89"/>
      <c r="F124" s="84"/>
      <c r="G124" s="89"/>
    </row>
    <row r="125" spans="1:7" x14ac:dyDescent="0.25">
      <c r="A125" s="89"/>
      <c r="B125" s="89"/>
      <c r="C125" s="89"/>
      <c r="D125" s="89"/>
      <c r="E125" s="89"/>
      <c r="F125" s="84"/>
      <c r="G125" s="89"/>
    </row>
  </sheetData>
  <mergeCells count="4">
    <mergeCell ref="A82:G82"/>
    <mergeCell ref="A7:G7"/>
    <mergeCell ref="E1:F1"/>
    <mergeCell ref="E2:F2"/>
  </mergeCells>
  <dataValidations count="1">
    <dataValidation type="decimal" operator="greaterThan" allowBlank="1" showErrorMessage="1" error="Apenas números decimais maiores que zero." sqref="F13 F19:F20 F25:F27 F30 F33:F37 F40:F42 F44 F80 F66:F72 F74:F77 F51:F62">
      <formula1>0</formula1>
      <formula2>0</formula2>
    </dataValidation>
  </dataValidations>
  <pageMargins left="0.51181102362204722" right="0.51181102362204722" top="0.78740157480314965" bottom="0.78740157480314965" header="0.31496062992125984" footer="0.31496062992125984"/>
  <pageSetup paperSize="9" scale="80" orientation="landscape" r:id="rId1"/>
  <headerFooter>
    <oddFooter>&amp;C&amp;A&amp;Rpag &amp;P de&amp;N</oddFooter>
  </headerFooter>
  <rowBreaks count="2" manualBreakCount="2">
    <brk id="60" max="6" man="1"/>
    <brk id="83"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9"/>
  <sheetViews>
    <sheetView view="pageBreakPreview" zoomScale="70" zoomScaleNormal="90" zoomScaleSheetLayoutView="70" workbookViewId="0">
      <selection activeCell="A669" sqref="A669:J669"/>
    </sheetView>
  </sheetViews>
  <sheetFormatPr defaultColWidth="9" defaultRowHeight="13.8" x14ac:dyDescent="0.25"/>
  <cols>
    <col min="1" max="1" width="7.09765625" style="19" customWidth="1"/>
    <col min="2" max="2" width="12" style="19" bestFit="1" customWidth="1"/>
    <col min="3" max="3" width="10" style="19" bestFit="1" customWidth="1"/>
    <col min="4" max="4" width="60" style="19" bestFit="1" customWidth="1"/>
    <col min="5" max="5" width="6.59765625" style="19" bestFit="1" customWidth="1"/>
    <col min="6" max="8" width="12" style="19" bestFit="1" customWidth="1"/>
    <col min="9" max="9" width="13" style="19" bestFit="1" customWidth="1"/>
    <col min="10" max="10" width="14" style="19" bestFit="1" customWidth="1"/>
    <col min="11" max="16384" width="9" style="1"/>
  </cols>
  <sheetData>
    <row r="1" spans="1:10" ht="15" customHeight="1" x14ac:dyDescent="0.25">
      <c r="A1" s="70" t="str">
        <f>'Planilha sintetica'!A1</f>
        <v>Cliente: PREFEITURA MUNICIPAL DE ENGENHEIRO COELHO</v>
      </c>
      <c r="B1" s="56"/>
      <c r="C1" s="69"/>
      <c r="D1" s="69"/>
      <c r="E1" s="200"/>
      <c r="F1" s="200"/>
      <c r="G1" s="200" t="s">
        <v>23</v>
      </c>
      <c r="H1" s="200"/>
      <c r="I1" s="200" t="s">
        <v>24</v>
      </c>
      <c r="J1" s="200"/>
    </row>
    <row r="2" spans="1:10" ht="15" customHeight="1" x14ac:dyDescent="0.25">
      <c r="A2" s="70" t="str">
        <f>'Planilha sintetica'!A2</f>
        <v>Obra: TRAVESSIA JARDIM MERCEDEZ - PORTAL DO LAGO</v>
      </c>
      <c r="B2" s="55"/>
      <c r="C2" s="69"/>
      <c r="D2" s="69"/>
      <c r="E2" s="200"/>
      <c r="F2" s="200"/>
      <c r="G2" s="201">
        <f>BDI!N27</f>
        <v>0.28820000000000001</v>
      </c>
      <c r="H2" s="182"/>
      <c r="I2" s="182" t="s">
        <v>25</v>
      </c>
      <c r="J2" s="182"/>
    </row>
    <row r="3" spans="1:10" s="57" customFormat="1" ht="15.6" x14ac:dyDescent="0.25">
      <c r="A3" s="68"/>
      <c r="B3" s="55"/>
      <c r="C3" s="56"/>
      <c r="D3" s="56"/>
      <c r="E3" s="56"/>
      <c r="F3" s="56"/>
      <c r="G3" s="63"/>
      <c r="H3" s="55"/>
      <c r="I3" s="182"/>
      <c r="J3" s="182"/>
    </row>
    <row r="4" spans="1:10" s="57" customFormat="1" ht="15.6" x14ac:dyDescent="0.25">
      <c r="A4" s="68"/>
      <c r="B4" s="55"/>
      <c r="C4" s="68"/>
      <c r="D4" s="68"/>
      <c r="E4" s="56"/>
      <c r="F4" s="56"/>
      <c r="G4" s="63"/>
      <c r="H4" s="55"/>
      <c r="I4" s="182"/>
      <c r="J4" s="182"/>
    </row>
    <row r="5" spans="1:10" ht="15" customHeight="1" x14ac:dyDescent="0.25">
      <c r="A5" s="68"/>
      <c r="C5" s="68"/>
      <c r="D5" s="68"/>
      <c r="E5" s="182"/>
      <c r="F5" s="182"/>
      <c r="I5" s="182"/>
      <c r="J5" s="182"/>
    </row>
    <row r="6" spans="1:10" s="47" customFormat="1" ht="24" customHeight="1" x14ac:dyDescent="0.25">
      <c r="A6" s="199" t="s">
        <v>29</v>
      </c>
      <c r="B6" s="199"/>
      <c r="C6" s="199"/>
      <c r="D6" s="199"/>
      <c r="E6" s="199"/>
      <c r="F6" s="199"/>
      <c r="G6" s="199"/>
      <c r="H6" s="199"/>
      <c r="I6" s="199"/>
      <c r="J6" s="199"/>
    </row>
    <row r="7" spans="1:10" x14ac:dyDescent="0.25">
      <c r="A7" s="142" t="s">
        <v>4</v>
      </c>
      <c r="B7" s="142"/>
      <c r="C7" s="142"/>
      <c r="D7" s="142" t="s">
        <v>150</v>
      </c>
      <c r="E7" s="142"/>
      <c r="F7" s="198"/>
      <c r="G7" s="198"/>
      <c r="H7" s="73"/>
      <c r="I7" s="142"/>
      <c r="J7" s="74">
        <v>5451.12</v>
      </c>
    </row>
    <row r="8" spans="1:10" x14ac:dyDescent="0.25">
      <c r="A8" s="100" t="s">
        <v>5</v>
      </c>
      <c r="B8" s="99" t="s">
        <v>82</v>
      </c>
      <c r="C8" s="100" t="s">
        <v>83</v>
      </c>
      <c r="D8" s="100" t="s">
        <v>1</v>
      </c>
      <c r="E8" s="193" t="s">
        <v>97</v>
      </c>
      <c r="F8" s="193"/>
      <c r="G8" s="101" t="s">
        <v>2</v>
      </c>
      <c r="H8" s="99" t="s">
        <v>3</v>
      </c>
      <c r="I8" s="99" t="s">
        <v>84</v>
      </c>
      <c r="J8" s="99" t="s">
        <v>86</v>
      </c>
    </row>
    <row r="9" spans="1:10" ht="26.4" x14ac:dyDescent="0.25">
      <c r="A9" s="143" t="s">
        <v>385</v>
      </c>
      <c r="B9" s="52" t="s">
        <v>151</v>
      </c>
      <c r="C9" s="143" t="s">
        <v>1373</v>
      </c>
      <c r="D9" s="143" t="s">
        <v>152</v>
      </c>
      <c r="E9" s="194">
        <v>2.08</v>
      </c>
      <c r="F9" s="194"/>
      <c r="G9" s="51" t="s">
        <v>6</v>
      </c>
      <c r="H9" s="144">
        <v>1</v>
      </c>
      <c r="I9" s="53">
        <v>881.58</v>
      </c>
      <c r="J9" s="53">
        <v>881.58</v>
      </c>
    </row>
    <row r="10" spans="1:10" ht="39.6" x14ac:dyDescent="0.25">
      <c r="A10" s="146" t="s">
        <v>386</v>
      </c>
      <c r="B10" s="145" t="s">
        <v>387</v>
      </c>
      <c r="C10" s="146" t="s">
        <v>1373</v>
      </c>
      <c r="D10" s="146" t="s">
        <v>388</v>
      </c>
      <c r="E10" s="197" t="s">
        <v>389</v>
      </c>
      <c r="F10" s="197"/>
      <c r="G10" s="147" t="s">
        <v>390</v>
      </c>
      <c r="H10" s="148">
        <v>1.91</v>
      </c>
      <c r="I10" s="149">
        <v>20.53</v>
      </c>
      <c r="J10" s="149">
        <v>39.21</v>
      </c>
    </row>
    <row r="11" spans="1:10" ht="39.6" x14ac:dyDescent="0.25">
      <c r="A11" s="146" t="s">
        <v>386</v>
      </c>
      <c r="B11" s="145" t="s">
        <v>396</v>
      </c>
      <c r="C11" s="146" t="s">
        <v>1373</v>
      </c>
      <c r="D11" s="146" t="s">
        <v>397</v>
      </c>
      <c r="E11" s="197" t="s">
        <v>395</v>
      </c>
      <c r="F11" s="197"/>
      <c r="G11" s="147" t="s">
        <v>118</v>
      </c>
      <c r="H11" s="148">
        <v>9.06</v>
      </c>
      <c r="I11" s="149">
        <v>0.64</v>
      </c>
      <c r="J11" s="149">
        <v>5.79</v>
      </c>
    </row>
    <row r="12" spans="1:10" ht="39.6" x14ac:dyDescent="0.25">
      <c r="A12" s="146" t="s">
        <v>386</v>
      </c>
      <c r="B12" s="145" t="s">
        <v>398</v>
      </c>
      <c r="C12" s="146" t="s">
        <v>1373</v>
      </c>
      <c r="D12" s="146" t="s">
        <v>399</v>
      </c>
      <c r="E12" s="197" t="s">
        <v>395</v>
      </c>
      <c r="F12" s="197"/>
      <c r="G12" s="147" t="s">
        <v>400</v>
      </c>
      <c r="H12" s="148">
        <v>3.26</v>
      </c>
      <c r="I12" s="149">
        <v>23.6</v>
      </c>
      <c r="J12" s="149">
        <v>76.930000000000007</v>
      </c>
    </row>
    <row r="13" spans="1:10" ht="39.6" x14ac:dyDescent="0.25">
      <c r="A13" s="146" t="s">
        <v>386</v>
      </c>
      <c r="B13" s="145" t="s">
        <v>401</v>
      </c>
      <c r="C13" s="146" t="s">
        <v>1373</v>
      </c>
      <c r="D13" s="146" t="s">
        <v>402</v>
      </c>
      <c r="E13" s="197" t="s">
        <v>395</v>
      </c>
      <c r="F13" s="197"/>
      <c r="G13" s="147" t="s">
        <v>13</v>
      </c>
      <c r="H13" s="148">
        <v>2.0899999999999998E-2</v>
      </c>
      <c r="I13" s="149">
        <v>143.83000000000001</v>
      </c>
      <c r="J13" s="149">
        <v>3</v>
      </c>
    </row>
    <row r="14" spans="1:10" ht="39.6" x14ac:dyDescent="0.25">
      <c r="A14" s="146" t="s">
        <v>386</v>
      </c>
      <c r="B14" s="145" t="s">
        <v>391</v>
      </c>
      <c r="C14" s="146" t="s">
        <v>1373</v>
      </c>
      <c r="D14" s="146" t="s">
        <v>392</v>
      </c>
      <c r="E14" s="197" t="s">
        <v>389</v>
      </c>
      <c r="F14" s="197"/>
      <c r="G14" s="147" t="s">
        <v>390</v>
      </c>
      <c r="H14" s="148">
        <v>2.27</v>
      </c>
      <c r="I14" s="149">
        <v>16.87</v>
      </c>
      <c r="J14" s="149">
        <v>38.29</v>
      </c>
    </row>
    <row r="15" spans="1:10" ht="39.6" x14ac:dyDescent="0.25">
      <c r="A15" s="146" t="s">
        <v>386</v>
      </c>
      <c r="B15" s="145" t="s">
        <v>393</v>
      </c>
      <c r="C15" s="146" t="s">
        <v>1373</v>
      </c>
      <c r="D15" s="146" t="s">
        <v>394</v>
      </c>
      <c r="E15" s="197" t="s">
        <v>395</v>
      </c>
      <c r="F15" s="197"/>
      <c r="G15" s="147" t="s">
        <v>118</v>
      </c>
      <c r="H15" s="148">
        <v>0.2</v>
      </c>
      <c r="I15" s="149">
        <v>14.8</v>
      </c>
      <c r="J15" s="149">
        <v>2.96</v>
      </c>
    </row>
    <row r="16" spans="1:10" ht="39.6" x14ac:dyDescent="0.25">
      <c r="A16" s="146" t="s">
        <v>386</v>
      </c>
      <c r="B16" s="145" t="s">
        <v>403</v>
      </c>
      <c r="C16" s="146" t="s">
        <v>1373</v>
      </c>
      <c r="D16" s="146" t="s">
        <v>404</v>
      </c>
      <c r="E16" s="197" t="s">
        <v>395</v>
      </c>
      <c r="F16" s="197"/>
      <c r="G16" s="147" t="s">
        <v>6</v>
      </c>
      <c r="H16" s="148">
        <v>1</v>
      </c>
      <c r="I16" s="149">
        <v>715.4</v>
      </c>
      <c r="J16" s="149">
        <v>715.4</v>
      </c>
    </row>
    <row r="17" spans="1:10" ht="39.6" x14ac:dyDescent="0.25">
      <c r="A17" s="151"/>
      <c r="B17" s="151"/>
      <c r="C17" s="151"/>
      <c r="D17" s="151"/>
      <c r="E17" s="151" t="s">
        <v>405</v>
      </c>
      <c r="F17" s="150">
        <v>77.5</v>
      </c>
      <c r="G17" s="151" t="s">
        <v>406</v>
      </c>
      <c r="H17" s="150">
        <v>0</v>
      </c>
      <c r="I17" s="151" t="s">
        <v>407</v>
      </c>
      <c r="J17" s="150">
        <v>77.5</v>
      </c>
    </row>
    <row r="18" spans="1:10" ht="39.6" x14ac:dyDescent="0.25">
      <c r="A18" s="151"/>
      <c r="B18" s="151"/>
      <c r="C18" s="151"/>
      <c r="D18" s="151"/>
      <c r="E18" s="151" t="s">
        <v>408</v>
      </c>
      <c r="F18" s="150">
        <v>254.07135600000001</v>
      </c>
      <c r="G18" s="151"/>
      <c r="H18" s="195" t="s">
        <v>409</v>
      </c>
      <c r="I18" s="195"/>
      <c r="J18" s="150">
        <v>1135.6500000000001</v>
      </c>
    </row>
    <row r="19" spans="1:10" ht="14.4" thickBot="1" x14ac:dyDescent="0.3">
      <c r="A19" s="95"/>
      <c r="B19" s="95"/>
      <c r="C19" s="95"/>
      <c r="D19" s="95"/>
      <c r="E19" s="95"/>
      <c r="F19" s="95"/>
      <c r="G19" s="95" t="s">
        <v>410</v>
      </c>
      <c r="H19" s="152">
        <v>4.8</v>
      </c>
      <c r="I19" s="95" t="s">
        <v>411</v>
      </c>
      <c r="J19" s="96">
        <v>5451.12</v>
      </c>
    </row>
    <row r="20" spans="1:10" ht="14.4" thickTop="1" x14ac:dyDescent="0.25">
      <c r="A20" s="153"/>
      <c r="B20" s="153"/>
      <c r="C20" s="153"/>
      <c r="D20" s="153"/>
      <c r="E20" s="153"/>
      <c r="F20" s="153"/>
      <c r="G20" s="153"/>
      <c r="H20" s="153"/>
      <c r="I20" s="153"/>
      <c r="J20" s="153"/>
    </row>
    <row r="21" spans="1:10" x14ac:dyDescent="0.25">
      <c r="A21" s="142" t="s">
        <v>7</v>
      </c>
      <c r="B21" s="142"/>
      <c r="C21" s="142"/>
      <c r="D21" s="142" t="s">
        <v>117</v>
      </c>
      <c r="E21" s="142"/>
      <c r="F21" s="198"/>
      <c r="G21" s="198"/>
      <c r="H21" s="73"/>
      <c r="I21" s="142"/>
      <c r="J21" s="74">
        <v>103823.03</v>
      </c>
    </row>
    <row r="22" spans="1:10" x14ac:dyDescent="0.25">
      <c r="A22" s="142" t="s">
        <v>8</v>
      </c>
      <c r="B22" s="142"/>
      <c r="C22" s="142"/>
      <c r="D22" s="142" t="s">
        <v>153</v>
      </c>
      <c r="E22" s="142"/>
      <c r="F22" s="198"/>
      <c r="G22" s="198"/>
      <c r="H22" s="73"/>
      <c r="I22" s="142"/>
      <c r="J22" s="74">
        <v>7517.94</v>
      </c>
    </row>
    <row r="23" spans="1:10" x14ac:dyDescent="0.25">
      <c r="A23" s="100" t="s">
        <v>127</v>
      </c>
      <c r="B23" s="99" t="s">
        <v>82</v>
      </c>
      <c r="C23" s="100" t="s">
        <v>83</v>
      </c>
      <c r="D23" s="100" t="s">
        <v>1</v>
      </c>
      <c r="E23" s="193" t="s">
        <v>97</v>
      </c>
      <c r="F23" s="193"/>
      <c r="G23" s="101" t="s">
        <v>2</v>
      </c>
      <c r="H23" s="99" t="s">
        <v>3</v>
      </c>
      <c r="I23" s="99" t="s">
        <v>84</v>
      </c>
      <c r="J23" s="99" t="s">
        <v>86</v>
      </c>
    </row>
    <row r="24" spans="1:10" ht="26.4" x14ac:dyDescent="0.25">
      <c r="A24" s="143" t="s">
        <v>385</v>
      </c>
      <c r="B24" s="52" t="s">
        <v>154</v>
      </c>
      <c r="C24" s="143" t="s">
        <v>87</v>
      </c>
      <c r="D24" s="143" t="s">
        <v>155</v>
      </c>
      <c r="E24" s="194" t="s">
        <v>412</v>
      </c>
      <c r="F24" s="194"/>
      <c r="G24" s="51" t="s">
        <v>6</v>
      </c>
      <c r="H24" s="144">
        <v>1</v>
      </c>
      <c r="I24" s="53">
        <v>972.67</v>
      </c>
      <c r="J24" s="53">
        <v>972.67</v>
      </c>
    </row>
    <row r="25" spans="1:10" ht="39.6" x14ac:dyDescent="0.25">
      <c r="A25" s="155" t="s">
        <v>413</v>
      </c>
      <c r="B25" s="154" t="s">
        <v>454</v>
      </c>
      <c r="C25" s="155" t="s">
        <v>87</v>
      </c>
      <c r="D25" s="155" t="s">
        <v>455</v>
      </c>
      <c r="E25" s="196" t="s">
        <v>442</v>
      </c>
      <c r="F25" s="196"/>
      <c r="G25" s="156" t="s">
        <v>13</v>
      </c>
      <c r="H25" s="157">
        <v>2.69E-2</v>
      </c>
      <c r="I25" s="158">
        <v>916.84</v>
      </c>
      <c r="J25" s="158">
        <v>24.66</v>
      </c>
    </row>
    <row r="26" spans="1:10" ht="39.6" x14ac:dyDescent="0.25">
      <c r="A26" s="155" t="s">
        <v>413</v>
      </c>
      <c r="B26" s="154" t="s">
        <v>464</v>
      </c>
      <c r="C26" s="155" t="s">
        <v>87</v>
      </c>
      <c r="D26" s="155" t="s">
        <v>465</v>
      </c>
      <c r="E26" s="196" t="s">
        <v>445</v>
      </c>
      <c r="F26" s="196"/>
      <c r="G26" s="156" t="s">
        <v>18</v>
      </c>
      <c r="H26" s="157">
        <v>2.52E-2</v>
      </c>
      <c r="I26" s="158">
        <v>77.14</v>
      </c>
      <c r="J26" s="158">
        <v>1.94</v>
      </c>
    </row>
    <row r="27" spans="1:10" ht="39.6" x14ac:dyDescent="0.25">
      <c r="A27" s="155" t="s">
        <v>413</v>
      </c>
      <c r="B27" s="154" t="s">
        <v>460</v>
      </c>
      <c r="C27" s="155" t="s">
        <v>87</v>
      </c>
      <c r="D27" s="155" t="s">
        <v>461</v>
      </c>
      <c r="E27" s="196" t="s">
        <v>445</v>
      </c>
      <c r="F27" s="196"/>
      <c r="G27" s="156" t="s">
        <v>18</v>
      </c>
      <c r="H27" s="157">
        <v>5.04E-2</v>
      </c>
      <c r="I27" s="158">
        <v>28.95</v>
      </c>
      <c r="J27" s="158">
        <v>1.45</v>
      </c>
    </row>
    <row r="28" spans="1:10" ht="39.6" x14ac:dyDescent="0.25">
      <c r="A28" s="155" t="s">
        <v>413</v>
      </c>
      <c r="B28" s="154" t="s">
        <v>487</v>
      </c>
      <c r="C28" s="155" t="s">
        <v>87</v>
      </c>
      <c r="D28" s="155" t="s">
        <v>488</v>
      </c>
      <c r="E28" s="196" t="s">
        <v>489</v>
      </c>
      <c r="F28" s="196"/>
      <c r="G28" s="156" t="s">
        <v>490</v>
      </c>
      <c r="H28" s="157">
        <v>0.97940000000000005</v>
      </c>
      <c r="I28" s="158">
        <v>27.02</v>
      </c>
      <c r="J28" s="158">
        <v>26.46</v>
      </c>
    </row>
    <row r="29" spans="1:10" ht="39.6" x14ac:dyDescent="0.25">
      <c r="A29" s="155" t="s">
        <v>413</v>
      </c>
      <c r="B29" s="154" t="s">
        <v>240</v>
      </c>
      <c r="C29" s="155" t="s">
        <v>87</v>
      </c>
      <c r="D29" s="155" t="s">
        <v>241</v>
      </c>
      <c r="E29" s="196" t="s">
        <v>486</v>
      </c>
      <c r="F29" s="196"/>
      <c r="G29" s="156" t="s">
        <v>6</v>
      </c>
      <c r="H29" s="157">
        <v>3.7456999999999998</v>
      </c>
      <c r="I29" s="158">
        <v>13.25</v>
      </c>
      <c r="J29" s="158">
        <v>49.63</v>
      </c>
    </row>
    <row r="30" spans="1:10" ht="52.8" x14ac:dyDescent="0.25">
      <c r="A30" s="155" t="s">
        <v>413</v>
      </c>
      <c r="B30" s="154" t="s">
        <v>476</v>
      </c>
      <c r="C30" s="155" t="s">
        <v>87</v>
      </c>
      <c r="D30" s="155" t="s">
        <v>477</v>
      </c>
      <c r="E30" s="196" t="s">
        <v>478</v>
      </c>
      <c r="F30" s="196"/>
      <c r="G30" s="156" t="s">
        <v>19</v>
      </c>
      <c r="H30" s="157">
        <v>0.25180000000000002</v>
      </c>
      <c r="I30" s="158">
        <v>3.57</v>
      </c>
      <c r="J30" s="158">
        <v>0.89</v>
      </c>
    </row>
    <row r="31" spans="1:10" ht="39.6" x14ac:dyDescent="0.25">
      <c r="A31" s="155" t="s">
        <v>413</v>
      </c>
      <c r="B31" s="154" t="s">
        <v>479</v>
      </c>
      <c r="C31" s="155" t="s">
        <v>87</v>
      </c>
      <c r="D31" s="155" t="s">
        <v>480</v>
      </c>
      <c r="E31" s="196" t="s">
        <v>478</v>
      </c>
      <c r="F31" s="196"/>
      <c r="G31" s="156" t="s">
        <v>19</v>
      </c>
      <c r="H31" s="157">
        <v>0.2266</v>
      </c>
      <c r="I31" s="158">
        <v>1.81</v>
      </c>
      <c r="J31" s="158">
        <v>0.41</v>
      </c>
    </row>
    <row r="32" spans="1:10" ht="39.6" x14ac:dyDescent="0.25">
      <c r="A32" s="155" t="s">
        <v>413</v>
      </c>
      <c r="B32" s="154" t="s">
        <v>435</v>
      </c>
      <c r="C32" s="155" t="s">
        <v>87</v>
      </c>
      <c r="D32" s="155" t="s">
        <v>436</v>
      </c>
      <c r="E32" s="196" t="s">
        <v>437</v>
      </c>
      <c r="F32" s="196"/>
      <c r="G32" s="156" t="s">
        <v>6</v>
      </c>
      <c r="H32" s="157">
        <v>6.3399999999999998E-2</v>
      </c>
      <c r="I32" s="158">
        <v>676.25</v>
      </c>
      <c r="J32" s="158">
        <v>42.87</v>
      </c>
    </row>
    <row r="33" spans="1:10" ht="39.6" x14ac:dyDescent="0.25">
      <c r="A33" s="155" t="s">
        <v>413</v>
      </c>
      <c r="B33" s="154" t="s">
        <v>446</v>
      </c>
      <c r="C33" s="155" t="s">
        <v>87</v>
      </c>
      <c r="D33" s="155" t="s">
        <v>447</v>
      </c>
      <c r="E33" s="196" t="s">
        <v>445</v>
      </c>
      <c r="F33" s="196"/>
      <c r="G33" s="156" t="s">
        <v>19</v>
      </c>
      <c r="H33" s="157">
        <v>0.25180000000000002</v>
      </c>
      <c r="I33" s="158">
        <v>10.130000000000001</v>
      </c>
      <c r="J33" s="158">
        <v>2.5499999999999998</v>
      </c>
    </row>
    <row r="34" spans="1:10" ht="39.6" x14ac:dyDescent="0.25">
      <c r="A34" s="155" t="s">
        <v>413</v>
      </c>
      <c r="B34" s="154" t="s">
        <v>448</v>
      </c>
      <c r="C34" s="155" t="s">
        <v>87</v>
      </c>
      <c r="D34" s="155" t="s">
        <v>449</v>
      </c>
      <c r="E34" s="196" t="s">
        <v>445</v>
      </c>
      <c r="F34" s="196"/>
      <c r="G34" s="156" t="s">
        <v>19</v>
      </c>
      <c r="H34" s="157">
        <v>0.2266</v>
      </c>
      <c r="I34" s="158">
        <v>13.73</v>
      </c>
      <c r="J34" s="158">
        <v>3.11</v>
      </c>
    </row>
    <row r="35" spans="1:10" ht="39.6" x14ac:dyDescent="0.25">
      <c r="A35" s="155" t="s">
        <v>413</v>
      </c>
      <c r="B35" s="154" t="s">
        <v>450</v>
      </c>
      <c r="C35" s="155" t="s">
        <v>87</v>
      </c>
      <c r="D35" s="155" t="s">
        <v>451</v>
      </c>
      <c r="E35" s="196" t="s">
        <v>445</v>
      </c>
      <c r="F35" s="196"/>
      <c r="G35" s="156" t="s">
        <v>18</v>
      </c>
      <c r="H35" s="157">
        <v>7.5499999999999998E-2</v>
      </c>
      <c r="I35" s="158">
        <v>19.73</v>
      </c>
      <c r="J35" s="158">
        <v>1.48</v>
      </c>
    </row>
    <row r="36" spans="1:10" ht="39.6" x14ac:dyDescent="0.25">
      <c r="A36" s="155" t="s">
        <v>413</v>
      </c>
      <c r="B36" s="154" t="s">
        <v>443</v>
      </c>
      <c r="C36" s="155" t="s">
        <v>87</v>
      </c>
      <c r="D36" s="155" t="s">
        <v>444</v>
      </c>
      <c r="E36" s="196" t="s">
        <v>445</v>
      </c>
      <c r="F36" s="196"/>
      <c r="G36" s="156" t="s">
        <v>19</v>
      </c>
      <c r="H36" s="157">
        <v>0.62190000000000001</v>
      </c>
      <c r="I36" s="158">
        <v>2.87</v>
      </c>
      <c r="J36" s="158">
        <v>1.78</v>
      </c>
    </row>
    <row r="37" spans="1:10" ht="39.6" x14ac:dyDescent="0.25">
      <c r="A37" s="155" t="s">
        <v>413</v>
      </c>
      <c r="B37" s="154" t="s">
        <v>452</v>
      </c>
      <c r="C37" s="155" t="s">
        <v>87</v>
      </c>
      <c r="D37" s="155" t="s">
        <v>453</v>
      </c>
      <c r="E37" s="196" t="s">
        <v>445</v>
      </c>
      <c r="F37" s="196"/>
      <c r="G37" s="156" t="s">
        <v>19</v>
      </c>
      <c r="H37" s="157">
        <v>0.67979999999999996</v>
      </c>
      <c r="I37" s="158">
        <v>4.0599999999999996</v>
      </c>
      <c r="J37" s="158">
        <v>2.75</v>
      </c>
    </row>
    <row r="38" spans="1:10" ht="39.6" x14ac:dyDescent="0.25">
      <c r="A38" s="155" t="s">
        <v>413</v>
      </c>
      <c r="B38" s="154" t="s">
        <v>456</v>
      </c>
      <c r="C38" s="155" t="s">
        <v>87</v>
      </c>
      <c r="D38" s="155" t="s">
        <v>457</v>
      </c>
      <c r="E38" s="196" t="s">
        <v>445</v>
      </c>
      <c r="F38" s="196"/>
      <c r="G38" s="156" t="s">
        <v>18</v>
      </c>
      <c r="H38" s="157">
        <v>0.12590000000000001</v>
      </c>
      <c r="I38" s="158">
        <v>18.21</v>
      </c>
      <c r="J38" s="158">
        <v>2.29</v>
      </c>
    </row>
    <row r="39" spans="1:10" ht="39.6" x14ac:dyDescent="0.25">
      <c r="A39" s="155" t="s">
        <v>413</v>
      </c>
      <c r="B39" s="154" t="s">
        <v>466</v>
      </c>
      <c r="C39" s="155" t="s">
        <v>87</v>
      </c>
      <c r="D39" s="155" t="s">
        <v>467</v>
      </c>
      <c r="E39" s="196" t="s">
        <v>445</v>
      </c>
      <c r="F39" s="196"/>
      <c r="G39" s="156" t="s">
        <v>18</v>
      </c>
      <c r="H39" s="157">
        <v>5.04E-2</v>
      </c>
      <c r="I39" s="158">
        <v>35.97</v>
      </c>
      <c r="J39" s="158">
        <v>1.81</v>
      </c>
    </row>
    <row r="40" spans="1:10" ht="39.6" x14ac:dyDescent="0.25">
      <c r="A40" s="155" t="s">
        <v>413</v>
      </c>
      <c r="B40" s="154" t="s">
        <v>472</v>
      </c>
      <c r="C40" s="155" t="s">
        <v>87</v>
      </c>
      <c r="D40" s="155" t="s">
        <v>473</v>
      </c>
      <c r="E40" s="196" t="s">
        <v>445</v>
      </c>
      <c r="F40" s="196"/>
      <c r="G40" s="156" t="s">
        <v>18</v>
      </c>
      <c r="H40" s="157">
        <v>2.52E-2</v>
      </c>
      <c r="I40" s="158">
        <v>82.59</v>
      </c>
      <c r="J40" s="158">
        <v>2.08</v>
      </c>
    </row>
    <row r="41" spans="1:10" ht="52.8" x14ac:dyDescent="0.25">
      <c r="A41" s="155" t="s">
        <v>413</v>
      </c>
      <c r="B41" s="154" t="s">
        <v>430</v>
      </c>
      <c r="C41" s="155" t="s">
        <v>87</v>
      </c>
      <c r="D41" s="155" t="s">
        <v>431</v>
      </c>
      <c r="E41" s="196" t="s">
        <v>432</v>
      </c>
      <c r="F41" s="196"/>
      <c r="G41" s="156" t="s">
        <v>6</v>
      </c>
      <c r="H41" s="157">
        <v>1.4396</v>
      </c>
      <c r="I41" s="158">
        <v>27.79</v>
      </c>
      <c r="J41" s="158">
        <v>40</v>
      </c>
    </row>
    <row r="42" spans="1:10" ht="39.6" x14ac:dyDescent="0.25">
      <c r="A42" s="155" t="s">
        <v>413</v>
      </c>
      <c r="B42" s="154" t="s">
        <v>481</v>
      </c>
      <c r="C42" s="155" t="s">
        <v>87</v>
      </c>
      <c r="D42" s="155" t="s">
        <v>482</v>
      </c>
      <c r="E42" s="196" t="s">
        <v>483</v>
      </c>
      <c r="F42" s="196"/>
      <c r="G42" s="156" t="s">
        <v>13</v>
      </c>
      <c r="H42" s="157">
        <v>2.6200000000000001E-2</v>
      </c>
      <c r="I42" s="158">
        <v>93.79</v>
      </c>
      <c r="J42" s="158">
        <v>2.4500000000000002</v>
      </c>
    </row>
    <row r="43" spans="1:10" ht="52.8" x14ac:dyDescent="0.25">
      <c r="A43" s="155" t="s">
        <v>413</v>
      </c>
      <c r="B43" s="154" t="s">
        <v>433</v>
      </c>
      <c r="C43" s="155" t="s">
        <v>87</v>
      </c>
      <c r="D43" s="155" t="s">
        <v>434</v>
      </c>
      <c r="E43" s="196" t="s">
        <v>432</v>
      </c>
      <c r="F43" s="196"/>
      <c r="G43" s="156" t="s">
        <v>6</v>
      </c>
      <c r="H43" s="157">
        <v>1.4396</v>
      </c>
      <c r="I43" s="158">
        <v>47.91</v>
      </c>
      <c r="J43" s="158">
        <v>68.97</v>
      </c>
    </row>
    <row r="44" spans="1:10" ht="52.8" x14ac:dyDescent="0.25">
      <c r="A44" s="155" t="s">
        <v>413</v>
      </c>
      <c r="B44" s="154" t="s">
        <v>438</v>
      </c>
      <c r="C44" s="155" t="s">
        <v>87</v>
      </c>
      <c r="D44" s="155" t="s">
        <v>439</v>
      </c>
      <c r="E44" s="196" t="s">
        <v>437</v>
      </c>
      <c r="F44" s="196"/>
      <c r="G44" s="156" t="s">
        <v>6</v>
      </c>
      <c r="H44" s="157">
        <v>7.5499999999999998E-2</v>
      </c>
      <c r="I44" s="158">
        <v>679.27</v>
      </c>
      <c r="J44" s="158">
        <v>51.28</v>
      </c>
    </row>
    <row r="45" spans="1:10" ht="39.6" x14ac:dyDescent="0.25">
      <c r="A45" s="155" t="s">
        <v>413</v>
      </c>
      <c r="B45" s="154" t="s">
        <v>440</v>
      </c>
      <c r="C45" s="155" t="s">
        <v>87</v>
      </c>
      <c r="D45" s="155" t="s">
        <v>441</v>
      </c>
      <c r="E45" s="196" t="s">
        <v>442</v>
      </c>
      <c r="F45" s="196"/>
      <c r="G45" s="156" t="s">
        <v>6</v>
      </c>
      <c r="H45" s="157">
        <v>6.0000000000000001E-3</v>
      </c>
      <c r="I45" s="158">
        <v>15.78</v>
      </c>
      <c r="J45" s="158">
        <v>0.09</v>
      </c>
    </row>
    <row r="46" spans="1:10" ht="39.6" x14ac:dyDescent="0.25">
      <c r="A46" s="155" t="s">
        <v>413</v>
      </c>
      <c r="B46" s="154" t="s">
        <v>201</v>
      </c>
      <c r="C46" s="155" t="s">
        <v>87</v>
      </c>
      <c r="D46" s="155" t="s">
        <v>202</v>
      </c>
      <c r="E46" s="196" t="s">
        <v>442</v>
      </c>
      <c r="F46" s="196"/>
      <c r="G46" s="156" t="s">
        <v>6</v>
      </c>
      <c r="H46" s="157">
        <v>1.4396</v>
      </c>
      <c r="I46" s="158">
        <v>26.3</v>
      </c>
      <c r="J46" s="158">
        <v>37.86</v>
      </c>
    </row>
    <row r="47" spans="1:10" ht="39.6" x14ac:dyDescent="0.25">
      <c r="A47" s="155" t="s">
        <v>413</v>
      </c>
      <c r="B47" s="154" t="s">
        <v>462</v>
      </c>
      <c r="C47" s="155" t="s">
        <v>87</v>
      </c>
      <c r="D47" s="155" t="s">
        <v>463</v>
      </c>
      <c r="E47" s="196" t="s">
        <v>445</v>
      </c>
      <c r="F47" s="196"/>
      <c r="G47" s="156" t="s">
        <v>18</v>
      </c>
      <c r="H47" s="157">
        <v>5.04E-2</v>
      </c>
      <c r="I47" s="158">
        <v>25.65</v>
      </c>
      <c r="J47" s="158">
        <v>1.29</v>
      </c>
    </row>
    <row r="48" spans="1:10" ht="39.6" x14ac:dyDescent="0.25">
      <c r="A48" s="155" t="s">
        <v>413</v>
      </c>
      <c r="B48" s="154" t="s">
        <v>458</v>
      </c>
      <c r="C48" s="155" t="s">
        <v>87</v>
      </c>
      <c r="D48" s="155" t="s">
        <v>459</v>
      </c>
      <c r="E48" s="196" t="s">
        <v>445</v>
      </c>
      <c r="F48" s="196"/>
      <c r="G48" s="156" t="s">
        <v>18</v>
      </c>
      <c r="H48" s="157">
        <v>2.52E-2</v>
      </c>
      <c r="I48" s="158">
        <v>21.2</v>
      </c>
      <c r="J48" s="158">
        <v>0.53</v>
      </c>
    </row>
    <row r="49" spans="1:10" ht="39.6" x14ac:dyDescent="0.25">
      <c r="A49" s="155" t="s">
        <v>413</v>
      </c>
      <c r="B49" s="154" t="s">
        <v>484</v>
      </c>
      <c r="C49" s="155" t="s">
        <v>87</v>
      </c>
      <c r="D49" s="155" t="s">
        <v>485</v>
      </c>
      <c r="E49" s="196" t="s">
        <v>483</v>
      </c>
      <c r="F49" s="196"/>
      <c r="G49" s="156" t="s">
        <v>13</v>
      </c>
      <c r="H49" s="157">
        <v>6.7000000000000002E-3</v>
      </c>
      <c r="I49" s="158">
        <v>56.87</v>
      </c>
      <c r="J49" s="158">
        <v>0.38</v>
      </c>
    </row>
    <row r="50" spans="1:10" ht="39.6" x14ac:dyDescent="0.25">
      <c r="A50" s="155" t="s">
        <v>413</v>
      </c>
      <c r="B50" s="154" t="s">
        <v>468</v>
      </c>
      <c r="C50" s="155" t="s">
        <v>87</v>
      </c>
      <c r="D50" s="155" t="s">
        <v>469</v>
      </c>
      <c r="E50" s="196" t="s">
        <v>445</v>
      </c>
      <c r="F50" s="196"/>
      <c r="G50" s="156" t="s">
        <v>18</v>
      </c>
      <c r="H50" s="157">
        <v>0.1007</v>
      </c>
      <c r="I50" s="158">
        <v>155.87</v>
      </c>
      <c r="J50" s="158">
        <v>15.69</v>
      </c>
    </row>
    <row r="51" spans="1:10" ht="39.6" x14ac:dyDescent="0.25">
      <c r="A51" s="155" t="s">
        <v>413</v>
      </c>
      <c r="B51" s="154" t="s">
        <v>474</v>
      </c>
      <c r="C51" s="155" t="s">
        <v>87</v>
      </c>
      <c r="D51" s="155" t="s">
        <v>475</v>
      </c>
      <c r="E51" s="196" t="s">
        <v>445</v>
      </c>
      <c r="F51" s="196"/>
      <c r="G51" s="156" t="s">
        <v>18</v>
      </c>
      <c r="H51" s="157">
        <v>2.52E-2</v>
      </c>
      <c r="I51" s="158">
        <v>144.18</v>
      </c>
      <c r="J51" s="158">
        <v>3.63</v>
      </c>
    </row>
    <row r="52" spans="1:10" ht="39.6" x14ac:dyDescent="0.25">
      <c r="A52" s="155" t="s">
        <v>413</v>
      </c>
      <c r="B52" s="154" t="s">
        <v>470</v>
      </c>
      <c r="C52" s="155" t="s">
        <v>87</v>
      </c>
      <c r="D52" s="155" t="s">
        <v>471</v>
      </c>
      <c r="E52" s="196" t="s">
        <v>445</v>
      </c>
      <c r="F52" s="196"/>
      <c r="G52" s="156" t="s">
        <v>18</v>
      </c>
      <c r="H52" s="157">
        <v>2.52E-2</v>
      </c>
      <c r="I52" s="158">
        <v>26.95</v>
      </c>
      <c r="J52" s="158">
        <v>0.67</v>
      </c>
    </row>
    <row r="53" spans="1:10" ht="39.6" x14ac:dyDescent="0.25">
      <c r="A53" s="155" t="s">
        <v>413</v>
      </c>
      <c r="B53" s="154" t="s">
        <v>414</v>
      </c>
      <c r="C53" s="155" t="s">
        <v>87</v>
      </c>
      <c r="D53" s="155" t="s">
        <v>415</v>
      </c>
      <c r="E53" s="196" t="s">
        <v>412</v>
      </c>
      <c r="F53" s="196"/>
      <c r="G53" s="156" t="s">
        <v>6</v>
      </c>
      <c r="H53" s="157">
        <v>0.35170000000000001</v>
      </c>
      <c r="I53" s="158">
        <v>164.04</v>
      </c>
      <c r="J53" s="158">
        <v>57.69</v>
      </c>
    </row>
    <row r="54" spans="1:10" ht="39.6" x14ac:dyDescent="0.25">
      <c r="A54" s="155" t="s">
        <v>413</v>
      </c>
      <c r="B54" s="154" t="s">
        <v>416</v>
      </c>
      <c r="C54" s="155" t="s">
        <v>87</v>
      </c>
      <c r="D54" s="155" t="s">
        <v>417</v>
      </c>
      <c r="E54" s="196" t="s">
        <v>412</v>
      </c>
      <c r="F54" s="196"/>
      <c r="G54" s="156" t="s">
        <v>6</v>
      </c>
      <c r="H54" s="157">
        <v>0.40479999999999999</v>
      </c>
      <c r="I54" s="158">
        <v>167.42</v>
      </c>
      <c r="J54" s="158">
        <v>67.77</v>
      </c>
    </row>
    <row r="55" spans="1:10" ht="39.6" x14ac:dyDescent="0.25">
      <c r="A55" s="155" t="s">
        <v>413</v>
      </c>
      <c r="B55" s="154" t="s">
        <v>422</v>
      </c>
      <c r="C55" s="155" t="s">
        <v>87</v>
      </c>
      <c r="D55" s="155" t="s">
        <v>423</v>
      </c>
      <c r="E55" s="196" t="s">
        <v>412</v>
      </c>
      <c r="F55" s="196"/>
      <c r="G55" s="156" t="s">
        <v>6</v>
      </c>
      <c r="H55" s="157">
        <v>2.81E-2</v>
      </c>
      <c r="I55" s="158">
        <v>143.38999999999999</v>
      </c>
      <c r="J55" s="158">
        <v>4.0199999999999996</v>
      </c>
    </row>
    <row r="56" spans="1:10" ht="39.6" x14ac:dyDescent="0.25">
      <c r="A56" s="155" t="s">
        <v>413</v>
      </c>
      <c r="B56" s="154" t="s">
        <v>418</v>
      </c>
      <c r="C56" s="155" t="s">
        <v>87</v>
      </c>
      <c r="D56" s="155" t="s">
        <v>419</v>
      </c>
      <c r="E56" s="196" t="s">
        <v>412</v>
      </c>
      <c r="F56" s="196"/>
      <c r="G56" s="156" t="s">
        <v>6</v>
      </c>
      <c r="H56" s="157">
        <v>3.2300000000000002E-2</v>
      </c>
      <c r="I56" s="158">
        <v>145.80000000000001</v>
      </c>
      <c r="J56" s="158">
        <v>4.7</v>
      </c>
    </row>
    <row r="57" spans="1:10" ht="39.6" x14ac:dyDescent="0.25">
      <c r="A57" s="155" t="s">
        <v>413</v>
      </c>
      <c r="B57" s="154" t="s">
        <v>424</v>
      </c>
      <c r="C57" s="155" t="s">
        <v>87</v>
      </c>
      <c r="D57" s="155" t="s">
        <v>425</v>
      </c>
      <c r="E57" s="196" t="s">
        <v>412</v>
      </c>
      <c r="F57" s="196"/>
      <c r="G57" s="156" t="s">
        <v>6</v>
      </c>
      <c r="H57" s="157">
        <v>0.54949999999999999</v>
      </c>
      <c r="I57" s="158">
        <v>199.81</v>
      </c>
      <c r="J57" s="158">
        <v>109.79</v>
      </c>
    </row>
    <row r="58" spans="1:10" ht="39.6" x14ac:dyDescent="0.25">
      <c r="A58" s="155" t="s">
        <v>413</v>
      </c>
      <c r="B58" s="154" t="s">
        <v>420</v>
      </c>
      <c r="C58" s="155" t="s">
        <v>87</v>
      </c>
      <c r="D58" s="155" t="s">
        <v>421</v>
      </c>
      <c r="E58" s="196" t="s">
        <v>412</v>
      </c>
      <c r="F58" s="196"/>
      <c r="G58" s="156" t="s">
        <v>6</v>
      </c>
      <c r="H58" s="157">
        <v>0.4284</v>
      </c>
      <c r="I58" s="158">
        <v>258.47000000000003</v>
      </c>
      <c r="J58" s="158">
        <v>110.72</v>
      </c>
    </row>
    <row r="59" spans="1:10" ht="39.6" x14ac:dyDescent="0.25">
      <c r="A59" s="155" t="s">
        <v>413</v>
      </c>
      <c r="B59" s="154" t="s">
        <v>428</v>
      </c>
      <c r="C59" s="155" t="s">
        <v>87</v>
      </c>
      <c r="D59" s="155" t="s">
        <v>429</v>
      </c>
      <c r="E59" s="196" t="s">
        <v>412</v>
      </c>
      <c r="F59" s="196"/>
      <c r="G59" s="156" t="s">
        <v>6</v>
      </c>
      <c r="H59" s="157">
        <v>4.3900000000000002E-2</v>
      </c>
      <c r="I59" s="158">
        <v>170.93</v>
      </c>
      <c r="J59" s="158">
        <v>7.5</v>
      </c>
    </row>
    <row r="60" spans="1:10" ht="39.6" x14ac:dyDescent="0.25">
      <c r="A60" s="155" t="s">
        <v>413</v>
      </c>
      <c r="B60" s="154" t="s">
        <v>426</v>
      </c>
      <c r="C60" s="155" t="s">
        <v>87</v>
      </c>
      <c r="D60" s="155" t="s">
        <v>427</v>
      </c>
      <c r="E60" s="196" t="s">
        <v>412</v>
      </c>
      <c r="F60" s="196"/>
      <c r="G60" s="156" t="s">
        <v>6</v>
      </c>
      <c r="H60" s="157">
        <v>3.4200000000000001E-2</v>
      </c>
      <c r="I60" s="158">
        <v>216.92</v>
      </c>
      <c r="J60" s="158">
        <v>7.41</v>
      </c>
    </row>
    <row r="61" spans="1:10" ht="26.4" x14ac:dyDescent="0.25">
      <c r="A61" s="146" t="s">
        <v>386</v>
      </c>
      <c r="B61" s="145" t="s">
        <v>491</v>
      </c>
      <c r="C61" s="146" t="s">
        <v>87</v>
      </c>
      <c r="D61" s="146" t="s">
        <v>492</v>
      </c>
      <c r="E61" s="197" t="s">
        <v>395</v>
      </c>
      <c r="F61" s="197"/>
      <c r="G61" s="147" t="s">
        <v>19</v>
      </c>
      <c r="H61" s="148">
        <v>3.4843999999999999</v>
      </c>
      <c r="I61" s="149">
        <v>5.23</v>
      </c>
      <c r="J61" s="149">
        <v>18.22</v>
      </c>
    </row>
    <row r="62" spans="1:10" ht="26.4" x14ac:dyDescent="0.25">
      <c r="A62" s="146" t="s">
        <v>386</v>
      </c>
      <c r="B62" s="145" t="s">
        <v>501</v>
      </c>
      <c r="C62" s="146" t="s">
        <v>87</v>
      </c>
      <c r="D62" s="146" t="s">
        <v>502</v>
      </c>
      <c r="E62" s="197" t="s">
        <v>395</v>
      </c>
      <c r="F62" s="197"/>
      <c r="G62" s="147" t="s">
        <v>19</v>
      </c>
      <c r="H62" s="148">
        <v>3.9174000000000002</v>
      </c>
      <c r="I62" s="149">
        <v>23.54</v>
      </c>
      <c r="J62" s="149">
        <v>92.21</v>
      </c>
    </row>
    <row r="63" spans="1:10" ht="26.4" x14ac:dyDescent="0.25">
      <c r="A63" s="146" t="s">
        <v>386</v>
      </c>
      <c r="B63" s="145" t="s">
        <v>495</v>
      </c>
      <c r="C63" s="146" t="s">
        <v>87</v>
      </c>
      <c r="D63" s="146" t="s">
        <v>496</v>
      </c>
      <c r="E63" s="197" t="s">
        <v>395</v>
      </c>
      <c r="F63" s="197"/>
      <c r="G63" s="147" t="s">
        <v>18</v>
      </c>
      <c r="H63" s="148">
        <v>2.52E-2</v>
      </c>
      <c r="I63" s="149">
        <v>196.52</v>
      </c>
      <c r="J63" s="149">
        <v>4.95</v>
      </c>
    </row>
    <row r="64" spans="1:10" ht="26.4" x14ac:dyDescent="0.25">
      <c r="A64" s="146" t="s">
        <v>386</v>
      </c>
      <c r="B64" s="145" t="s">
        <v>493</v>
      </c>
      <c r="C64" s="146" t="s">
        <v>87</v>
      </c>
      <c r="D64" s="146" t="s">
        <v>494</v>
      </c>
      <c r="E64" s="197" t="s">
        <v>395</v>
      </c>
      <c r="F64" s="197"/>
      <c r="G64" s="147" t="s">
        <v>18</v>
      </c>
      <c r="H64" s="148">
        <v>2.52E-2</v>
      </c>
      <c r="I64" s="149">
        <v>190.04</v>
      </c>
      <c r="J64" s="149">
        <v>4.78</v>
      </c>
    </row>
    <row r="65" spans="1:10" ht="26.4" x14ac:dyDescent="0.25">
      <c r="A65" s="146" t="s">
        <v>386</v>
      </c>
      <c r="B65" s="145" t="s">
        <v>499</v>
      </c>
      <c r="C65" s="146" t="s">
        <v>87</v>
      </c>
      <c r="D65" s="146" t="s">
        <v>500</v>
      </c>
      <c r="E65" s="197" t="s">
        <v>395</v>
      </c>
      <c r="F65" s="197"/>
      <c r="G65" s="147" t="s">
        <v>18</v>
      </c>
      <c r="H65" s="148">
        <v>2.52E-2</v>
      </c>
      <c r="I65" s="149">
        <v>17.170000000000002</v>
      </c>
      <c r="J65" s="149">
        <v>0.43</v>
      </c>
    </row>
    <row r="66" spans="1:10" ht="26.4" x14ac:dyDescent="0.25">
      <c r="A66" s="146" t="s">
        <v>386</v>
      </c>
      <c r="B66" s="145" t="s">
        <v>497</v>
      </c>
      <c r="C66" s="146" t="s">
        <v>87</v>
      </c>
      <c r="D66" s="146" t="s">
        <v>498</v>
      </c>
      <c r="E66" s="197" t="s">
        <v>395</v>
      </c>
      <c r="F66" s="197"/>
      <c r="G66" s="147" t="s">
        <v>6</v>
      </c>
      <c r="H66" s="148">
        <v>1</v>
      </c>
      <c r="I66" s="149">
        <v>93.48</v>
      </c>
      <c r="J66" s="149">
        <v>93.48</v>
      </c>
    </row>
    <row r="67" spans="1:10" ht="39.6" x14ac:dyDescent="0.25">
      <c r="A67" s="151"/>
      <c r="B67" s="151"/>
      <c r="C67" s="151"/>
      <c r="D67" s="151"/>
      <c r="E67" s="151" t="s">
        <v>405</v>
      </c>
      <c r="F67" s="150">
        <v>150.44999999999999</v>
      </c>
      <c r="G67" s="151" t="s">
        <v>406</v>
      </c>
      <c r="H67" s="150">
        <v>0</v>
      </c>
      <c r="I67" s="151" t="s">
        <v>407</v>
      </c>
      <c r="J67" s="150">
        <v>150.44999999999999</v>
      </c>
    </row>
    <row r="68" spans="1:10" ht="39.6" x14ac:dyDescent="0.25">
      <c r="A68" s="151"/>
      <c r="B68" s="151"/>
      <c r="C68" s="151"/>
      <c r="D68" s="151"/>
      <c r="E68" s="151" t="s">
        <v>408</v>
      </c>
      <c r="F68" s="150">
        <v>280.32349399999998</v>
      </c>
      <c r="G68" s="151"/>
      <c r="H68" s="195" t="s">
        <v>409</v>
      </c>
      <c r="I68" s="195"/>
      <c r="J68" s="150">
        <v>1252.99</v>
      </c>
    </row>
    <row r="69" spans="1:10" ht="14.4" thickBot="1" x14ac:dyDescent="0.3">
      <c r="A69" s="95"/>
      <c r="B69" s="95"/>
      <c r="C69" s="95"/>
      <c r="D69" s="95"/>
      <c r="E69" s="95"/>
      <c r="F69" s="95"/>
      <c r="G69" s="95" t="s">
        <v>410</v>
      </c>
      <c r="H69" s="152">
        <v>6</v>
      </c>
      <c r="I69" s="95" t="s">
        <v>411</v>
      </c>
      <c r="J69" s="96">
        <v>7517.94</v>
      </c>
    </row>
    <row r="70" spans="1:10" ht="14.4" thickTop="1" x14ac:dyDescent="0.25">
      <c r="A70" s="153"/>
      <c r="B70" s="153"/>
      <c r="C70" s="153"/>
      <c r="D70" s="153"/>
      <c r="E70" s="153"/>
      <c r="F70" s="153"/>
      <c r="G70" s="153"/>
      <c r="H70" s="153"/>
      <c r="I70" s="153"/>
      <c r="J70" s="153"/>
    </row>
    <row r="71" spans="1:10" x14ac:dyDescent="0.25">
      <c r="A71" s="142" t="s">
        <v>9</v>
      </c>
      <c r="B71" s="142"/>
      <c r="C71" s="142"/>
      <c r="D71" s="142" t="s">
        <v>156</v>
      </c>
      <c r="E71" s="142"/>
      <c r="F71" s="198"/>
      <c r="G71" s="198"/>
      <c r="H71" s="73"/>
      <c r="I71" s="142"/>
      <c r="J71" s="74">
        <v>6832.7</v>
      </c>
    </row>
    <row r="72" spans="1:10" x14ac:dyDescent="0.25">
      <c r="A72" s="100" t="s">
        <v>129</v>
      </c>
      <c r="B72" s="99" t="s">
        <v>82</v>
      </c>
      <c r="C72" s="100" t="s">
        <v>83</v>
      </c>
      <c r="D72" s="100" t="s">
        <v>1</v>
      </c>
      <c r="E72" s="193" t="s">
        <v>97</v>
      </c>
      <c r="F72" s="193"/>
      <c r="G72" s="101" t="s">
        <v>2</v>
      </c>
      <c r="H72" s="99" t="s">
        <v>3</v>
      </c>
      <c r="I72" s="99" t="s">
        <v>84</v>
      </c>
      <c r="J72" s="99" t="s">
        <v>86</v>
      </c>
    </row>
    <row r="73" spans="1:10" ht="39.6" x14ac:dyDescent="0.25">
      <c r="A73" s="143" t="s">
        <v>385</v>
      </c>
      <c r="B73" s="52" t="s">
        <v>157</v>
      </c>
      <c r="C73" s="143" t="s">
        <v>87</v>
      </c>
      <c r="D73" s="143" t="s">
        <v>158</v>
      </c>
      <c r="E73" s="194" t="s">
        <v>503</v>
      </c>
      <c r="F73" s="194"/>
      <c r="G73" s="51" t="s">
        <v>6</v>
      </c>
      <c r="H73" s="144">
        <v>1</v>
      </c>
      <c r="I73" s="53">
        <v>0.39</v>
      </c>
      <c r="J73" s="53">
        <v>0.39</v>
      </c>
    </row>
    <row r="74" spans="1:10" ht="39.6" x14ac:dyDescent="0.25">
      <c r="A74" s="155" t="s">
        <v>413</v>
      </c>
      <c r="B74" s="154" t="s">
        <v>510</v>
      </c>
      <c r="C74" s="155" t="s">
        <v>87</v>
      </c>
      <c r="D74" s="155" t="s">
        <v>511</v>
      </c>
      <c r="E74" s="196" t="s">
        <v>489</v>
      </c>
      <c r="F74" s="196"/>
      <c r="G74" s="156" t="s">
        <v>490</v>
      </c>
      <c r="H74" s="157">
        <v>3.0000000000000001E-3</v>
      </c>
      <c r="I74" s="158">
        <v>23.71</v>
      </c>
      <c r="J74" s="158">
        <v>7.0000000000000007E-2</v>
      </c>
    </row>
    <row r="75" spans="1:10" ht="39.6" x14ac:dyDescent="0.25">
      <c r="A75" s="155" t="s">
        <v>413</v>
      </c>
      <c r="B75" s="154" t="s">
        <v>512</v>
      </c>
      <c r="C75" s="155" t="s">
        <v>87</v>
      </c>
      <c r="D75" s="155" t="s">
        <v>513</v>
      </c>
      <c r="E75" s="196" t="s">
        <v>489</v>
      </c>
      <c r="F75" s="196"/>
      <c r="G75" s="156" t="s">
        <v>490</v>
      </c>
      <c r="H75" s="157">
        <v>3.0000000000000001E-3</v>
      </c>
      <c r="I75" s="158">
        <v>23.61</v>
      </c>
      <c r="J75" s="158">
        <v>7.0000000000000007E-2</v>
      </c>
    </row>
    <row r="76" spans="1:10" ht="39.6" x14ac:dyDescent="0.25">
      <c r="A76" s="155" t="s">
        <v>413</v>
      </c>
      <c r="B76" s="154" t="s">
        <v>507</v>
      </c>
      <c r="C76" s="155" t="s">
        <v>87</v>
      </c>
      <c r="D76" s="155" t="s">
        <v>508</v>
      </c>
      <c r="E76" s="196" t="s">
        <v>506</v>
      </c>
      <c r="F76" s="196"/>
      <c r="G76" s="156" t="s">
        <v>509</v>
      </c>
      <c r="H76" s="157">
        <v>2.3999999999999998E-3</v>
      </c>
      <c r="I76" s="158">
        <v>65.23</v>
      </c>
      <c r="J76" s="158">
        <v>0.15</v>
      </c>
    </row>
    <row r="77" spans="1:10" ht="39.6" x14ac:dyDescent="0.25">
      <c r="A77" s="155" t="s">
        <v>413</v>
      </c>
      <c r="B77" s="154" t="s">
        <v>504</v>
      </c>
      <c r="C77" s="155" t="s">
        <v>87</v>
      </c>
      <c r="D77" s="155" t="s">
        <v>505</v>
      </c>
      <c r="E77" s="196" t="s">
        <v>506</v>
      </c>
      <c r="F77" s="196"/>
      <c r="G77" s="156" t="s">
        <v>126</v>
      </c>
      <c r="H77" s="157">
        <v>5.9999999999999995E-4</v>
      </c>
      <c r="I77" s="158">
        <v>177.4</v>
      </c>
      <c r="J77" s="158">
        <v>0.1</v>
      </c>
    </row>
    <row r="78" spans="1:10" ht="39.6" x14ac:dyDescent="0.25">
      <c r="A78" s="151"/>
      <c r="B78" s="151"/>
      <c r="C78" s="151"/>
      <c r="D78" s="151"/>
      <c r="E78" s="151" t="s">
        <v>405</v>
      </c>
      <c r="F78" s="150">
        <v>0.14000000000000001</v>
      </c>
      <c r="G78" s="151" t="s">
        <v>406</v>
      </c>
      <c r="H78" s="150">
        <v>0</v>
      </c>
      <c r="I78" s="151" t="s">
        <v>407</v>
      </c>
      <c r="J78" s="150">
        <v>0.14000000000000001</v>
      </c>
    </row>
    <row r="79" spans="1:10" ht="39.6" x14ac:dyDescent="0.25">
      <c r="A79" s="151"/>
      <c r="B79" s="151"/>
      <c r="C79" s="151"/>
      <c r="D79" s="151"/>
      <c r="E79" s="151" t="s">
        <v>408</v>
      </c>
      <c r="F79" s="150">
        <v>0.112398</v>
      </c>
      <c r="G79" s="151"/>
      <c r="H79" s="195" t="s">
        <v>409</v>
      </c>
      <c r="I79" s="195"/>
      <c r="J79" s="150">
        <v>0.5</v>
      </c>
    </row>
    <row r="80" spans="1:10" ht="14.4" thickBot="1" x14ac:dyDescent="0.3">
      <c r="A80" s="95"/>
      <c r="B80" s="95"/>
      <c r="C80" s="95"/>
      <c r="D80" s="95"/>
      <c r="E80" s="95"/>
      <c r="F80" s="95"/>
      <c r="G80" s="95" t="s">
        <v>410</v>
      </c>
      <c r="H80" s="152">
        <v>2800</v>
      </c>
      <c r="I80" s="95" t="s">
        <v>411</v>
      </c>
      <c r="J80" s="96">
        <v>1400</v>
      </c>
    </row>
    <row r="81" spans="1:10" ht="14.4" thickTop="1" x14ac:dyDescent="0.25">
      <c r="A81" s="153"/>
      <c r="B81" s="153"/>
      <c r="C81" s="153"/>
      <c r="D81" s="153"/>
      <c r="E81" s="153"/>
      <c r="F81" s="153"/>
      <c r="G81" s="153"/>
      <c r="H81" s="153"/>
      <c r="I81" s="153"/>
      <c r="J81" s="153"/>
    </row>
    <row r="82" spans="1:10" x14ac:dyDescent="0.25">
      <c r="A82" s="100" t="s">
        <v>130</v>
      </c>
      <c r="B82" s="99" t="s">
        <v>82</v>
      </c>
      <c r="C82" s="100" t="s">
        <v>83</v>
      </c>
      <c r="D82" s="100" t="s">
        <v>1</v>
      </c>
      <c r="E82" s="193" t="s">
        <v>97</v>
      </c>
      <c r="F82" s="193"/>
      <c r="G82" s="101" t="s">
        <v>2</v>
      </c>
      <c r="H82" s="99" t="s">
        <v>3</v>
      </c>
      <c r="I82" s="99" t="s">
        <v>84</v>
      </c>
      <c r="J82" s="99" t="s">
        <v>86</v>
      </c>
    </row>
    <row r="83" spans="1:10" ht="39.6" x14ac:dyDescent="0.25">
      <c r="A83" s="143" t="s">
        <v>385</v>
      </c>
      <c r="B83" s="52" t="s">
        <v>159</v>
      </c>
      <c r="C83" s="143" t="s">
        <v>87</v>
      </c>
      <c r="D83" s="143" t="s">
        <v>160</v>
      </c>
      <c r="E83" s="194" t="s">
        <v>483</v>
      </c>
      <c r="F83" s="194"/>
      <c r="G83" s="51" t="s">
        <v>13</v>
      </c>
      <c r="H83" s="144">
        <v>1</v>
      </c>
      <c r="I83" s="53">
        <v>2.15</v>
      </c>
      <c r="J83" s="53">
        <v>2.15</v>
      </c>
    </row>
    <row r="84" spans="1:10" ht="39.6" x14ac:dyDescent="0.25">
      <c r="A84" s="155" t="s">
        <v>413</v>
      </c>
      <c r="B84" s="154" t="s">
        <v>514</v>
      </c>
      <c r="C84" s="155" t="s">
        <v>87</v>
      </c>
      <c r="D84" s="155" t="s">
        <v>515</v>
      </c>
      <c r="E84" s="196" t="s">
        <v>506</v>
      </c>
      <c r="F84" s="196"/>
      <c r="G84" s="156" t="s">
        <v>126</v>
      </c>
      <c r="H84" s="157">
        <v>3.0000000000000001E-3</v>
      </c>
      <c r="I84" s="158">
        <v>192.34</v>
      </c>
      <c r="J84" s="158">
        <v>0.56999999999999995</v>
      </c>
    </row>
    <row r="85" spans="1:10" ht="39.6" x14ac:dyDescent="0.25">
      <c r="A85" s="155" t="s">
        <v>413</v>
      </c>
      <c r="B85" s="154" t="s">
        <v>516</v>
      </c>
      <c r="C85" s="155" t="s">
        <v>87</v>
      </c>
      <c r="D85" s="155" t="s">
        <v>517</v>
      </c>
      <c r="E85" s="196" t="s">
        <v>506</v>
      </c>
      <c r="F85" s="196"/>
      <c r="G85" s="156" t="s">
        <v>126</v>
      </c>
      <c r="H85" s="157">
        <v>8.0000000000000002E-3</v>
      </c>
      <c r="I85" s="158">
        <v>175.9</v>
      </c>
      <c r="J85" s="158">
        <v>1.4</v>
      </c>
    </row>
    <row r="86" spans="1:10" ht="39.6" x14ac:dyDescent="0.25">
      <c r="A86" s="155" t="s">
        <v>413</v>
      </c>
      <c r="B86" s="154" t="s">
        <v>510</v>
      </c>
      <c r="C86" s="155" t="s">
        <v>87</v>
      </c>
      <c r="D86" s="155" t="s">
        <v>511</v>
      </c>
      <c r="E86" s="196" t="s">
        <v>489</v>
      </c>
      <c r="F86" s="196"/>
      <c r="G86" s="156" t="s">
        <v>490</v>
      </c>
      <c r="H86" s="157">
        <v>8.0000000000000002E-3</v>
      </c>
      <c r="I86" s="158">
        <v>23.71</v>
      </c>
      <c r="J86" s="158">
        <v>0.18</v>
      </c>
    </row>
    <row r="87" spans="1:10" ht="39.6" x14ac:dyDescent="0.25">
      <c r="A87" s="151"/>
      <c r="B87" s="151"/>
      <c r="C87" s="151"/>
      <c r="D87" s="151"/>
      <c r="E87" s="151" t="s">
        <v>405</v>
      </c>
      <c r="F87" s="150">
        <v>0.33</v>
      </c>
      <c r="G87" s="151" t="s">
        <v>406</v>
      </c>
      <c r="H87" s="150">
        <v>0</v>
      </c>
      <c r="I87" s="151" t="s">
        <v>407</v>
      </c>
      <c r="J87" s="150">
        <v>0.33</v>
      </c>
    </row>
    <row r="88" spans="1:10" ht="39.6" x14ac:dyDescent="0.25">
      <c r="A88" s="151"/>
      <c r="B88" s="151"/>
      <c r="C88" s="151"/>
      <c r="D88" s="151"/>
      <c r="E88" s="151" t="s">
        <v>408</v>
      </c>
      <c r="F88" s="150">
        <v>0.61963000000000001</v>
      </c>
      <c r="G88" s="151"/>
      <c r="H88" s="195" t="s">
        <v>409</v>
      </c>
      <c r="I88" s="195"/>
      <c r="J88" s="150">
        <v>2.77</v>
      </c>
    </row>
    <row r="89" spans="1:10" ht="14.4" thickBot="1" x14ac:dyDescent="0.3">
      <c r="A89" s="95"/>
      <c r="B89" s="95"/>
      <c r="C89" s="95"/>
      <c r="D89" s="95"/>
      <c r="E89" s="95"/>
      <c r="F89" s="95"/>
      <c r="G89" s="95" t="s">
        <v>410</v>
      </c>
      <c r="H89" s="152">
        <v>546</v>
      </c>
      <c r="I89" s="95" t="s">
        <v>411</v>
      </c>
      <c r="J89" s="96">
        <v>1512.42</v>
      </c>
    </row>
    <row r="90" spans="1:10" ht="14.4" thickTop="1" x14ac:dyDescent="0.25">
      <c r="A90" s="153"/>
      <c r="B90" s="153"/>
      <c r="C90" s="153"/>
      <c r="D90" s="153"/>
      <c r="E90" s="153"/>
      <c r="F90" s="153"/>
      <c r="G90" s="153"/>
      <c r="H90" s="153"/>
      <c r="I90" s="153"/>
      <c r="J90" s="153"/>
    </row>
    <row r="91" spans="1:10" x14ac:dyDescent="0.25">
      <c r="A91" s="100" t="s">
        <v>131</v>
      </c>
      <c r="B91" s="99" t="s">
        <v>82</v>
      </c>
      <c r="C91" s="100" t="s">
        <v>83</v>
      </c>
      <c r="D91" s="100" t="s">
        <v>1</v>
      </c>
      <c r="E91" s="193" t="s">
        <v>97</v>
      </c>
      <c r="F91" s="193"/>
      <c r="G91" s="101" t="s">
        <v>2</v>
      </c>
      <c r="H91" s="99" t="s">
        <v>3</v>
      </c>
      <c r="I91" s="99" t="s">
        <v>84</v>
      </c>
      <c r="J91" s="99" t="s">
        <v>86</v>
      </c>
    </row>
    <row r="92" spans="1:10" ht="26.4" x14ac:dyDescent="0.25">
      <c r="A92" s="143" t="s">
        <v>385</v>
      </c>
      <c r="B92" s="52" t="s">
        <v>161</v>
      </c>
      <c r="C92" s="143" t="s">
        <v>87</v>
      </c>
      <c r="D92" s="143" t="s">
        <v>162</v>
      </c>
      <c r="E92" s="194" t="s">
        <v>518</v>
      </c>
      <c r="F92" s="194"/>
      <c r="G92" s="51" t="s">
        <v>163</v>
      </c>
      <c r="H92" s="144">
        <v>1</v>
      </c>
      <c r="I92" s="53">
        <v>2.79</v>
      </c>
      <c r="J92" s="53">
        <v>2.79</v>
      </c>
    </row>
    <row r="93" spans="1:10" ht="52.8" x14ac:dyDescent="0.25">
      <c r="A93" s="155" t="s">
        <v>413</v>
      </c>
      <c r="B93" s="154" t="s">
        <v>519</v>
      </c>
      <c r="C93" s="155" t="s">
        <v>87</v>
      </c>
      <c r="D93" s="155" t="s">
        <v>520</v>
      </c>
      <c r="E93" s="196" t="s">
        <v>506</v>
      </c>
      <c r="F93" s="196"/>
      <c r="G93" s="156" t="s">
        <v>126</v>
      </c>
      <c r="H93" s="157">
        <v>1.3899999999999999E-2</v>
      </c>
      <c r="I93" s="158">
        <v>176.31</v>
      </c>
      <c r="J93" s="158">
        <v>2.4500000000000002</v>
      </c>
    </row>
    <row r="94" spans="1:10" ht="52.8" x14ac:dyDescent="0.25">
      <c r="A94" s="155" t="s">
        <v>413</v>
      </c>
      <c r="B94" s="154" t="s">
        <v>521</v>
      </c>
      <c r="C94" s="155" t="s">
        <v>87</v>
      </c>
      <c r="D94" s="155" t="s">
        <v>522</v>
      </c>
      <c r="E94" s="196" t="s">
        <v>506</v>
      </c>
      <c r="F94" s="196"/>
      <c r="G94" s="156" t="s">
        <v>509</v>
      </c>
      <c r="H94" s="157">
        <v>6.0000000000000001E-3</v>
      </c>
      <c r="I94" s="158">
        <v>57.32</v>
      </c>
      <c r="J94" s="158">
        <v>0.34</v>
      </c>
    </row>
    <row r="95" spans="1:10" ht="39.6" x14ac:dyDescent="0.25">
      <c r="A95" s="151"/>
      <c r="B95" s="151"/>
      <c r="C95" s="151"/>
      <c r="D95" s="151"/>
      <c r="E95" s="151" t="s">
        <v>405</v>
      </c>
      <c r="F95" s="150">
        <v>0.37</v>
      </c>
      <c r="G95" s="151" t="s">
        <v>406</v>
      </c>
      <c r="H95" s="150">
        <v>0</v>
      </c>
      <c r="I95" s="151" t="s">
        <v>407</v>
      </c>
      <c r="J95" s="150">
        <v>0.37</v>
      </c>
    </row>
    <row r="96" spans="1:10" ht="39.6" x14ac:dyDescent="0.25">
      <c r="A96" s="151"/>
      <c r="B96" s="151"/>
      <c r="C96" s="151"/>
      <c r="D96" s="151"/>
      <c r="E96" s="151" t="s">
        <v>408</v>
      </c>
      <c r="F96" s="150">
        <v>0.80407799999999996</v>
      </c>
      <c r="G96" s="151"/>
      <c r="H96" s="195" t="s">
        <v>409</v>
      </c>
      <c r="I96" s="195"/>
      <c r="J96" s="150">
        <v>3.59</v>
      </c>
    </row>
    <row r="97" spans="1:10" ht="14.4" thickBot="1" x14ac:dyDescent="0.3">
      <c r="A97" s="95"/>
      <c r="B97" s="95"/>
      <c r="C97" s="95"/>
      <c r="D97" s="95"/>
      <c r="E97" s="95"/>
      <c r="F97" s="95"/>
      <c r="G97" s="95" t="s">
        <v>410</v>
      </c>
      <c r="H97" s="152">
        <v>1092</v>
      </c>
      <c r="I97" s="95" t="s">
        <v>411</v>
      </c>
      <c r="J97" s="96">
        <v>3920.28</v>
      </c>
    </row>
    <row r="98" spans="1:10" ht="14.4" thickTop="1" x14ac:dyDescent="0.25">
      <c r="A98" s="153"/>
      <c r="B98" s="153"/>
      <c r="C98" s="153"/>
      <c r="D98" s="153"/>
      <c r="E98" s="153"/>
      <c r="F98" s="153"/>
      <c r="G98" s="153"/>
      <c r="H98" s="153"/>
      <c r="I98" s="153"/>
      <c r="J98" s="153"/>
    </row>
    <row r="99" spans="1:10" x14ac:dyDescent="0.25">
      <c r="A99" s="142" t="s">
        <v>106</v>
      </c>
      <c r="B99" s="142"/>
      <c r="C99" s="142"/>
      <c r="D99" s="142" t="s">
        <v>164</v>
      </c>
      <c r="E99" s="142"/>
      <c r="F99" s="198"/>
      <c r="G99" s="198"/>
      <c r="H99" s="73"/>
      <c r="I99" s="142"/>
      <c r="J99" s="74">
        <v>4016.34</v>
      </c>
    </row>
    <row r="100" spans="1:10" x14ac:dyDescent="0.25">
      <c r="A100" s="100" t="s">
        <v>132</v>
      </c>
      <c r="B100" s="99" t="s">
        <v>82</v>
      </c>
      <c r="C100" s="100" t="s">
        <v>83</v>
      </c>
      <c r="D100" s="100" t="s">
        <v>1</v>
      </c>
      <c r="E100" s="193" t="s">
        <v>97</v>
      </c>
      <c r="F100" s="193"/>
      <c r="G100" s="101" t="s">
        <v>2</v>
      </c>
      <c r="H100" s="99" t="s">
        <v>3</v>
      </c>
      <c r="I100" s="99" t="s">
        <v>84</v>
      </c>
      <c r="J100" s="99" t="s">
        <v>86</v>
      </c>
    </row>
    <row r="101" spans="1:10" ht="26.4" x14ac:dyDescent="0.25">
      <c r="A101" s="143" t="s">
        <v>385</v>
      </c>
      <c r="B101" s="52" t="s">
        <v>165</v>
      </c>
      <c r="C101" s="143" t="s">
        <v>87</v>
      </c>
      <c r="D101" s="143" t="s">
        <v>166</v>
      </c>
      <c r="E101" s="194" t="s">
        <v>523</v>
      </c>
      <c r="F101" s="194"/>
      <c r="G101" s="51" t="s">
        <v>19</v>
      </c>
      <c r="H101" s="144">
        <v>1</v>
      </c>
      <c r="I101" s="53">
        <v>3.83</v>
      </c>
      <c r="J101" s="53">
        <v>3.83</v>
      </c>
    </row>
    <row r="102" spans="1:10" ht="39.6" x14ac:dyDescent="0.25">
      <c r="A102" s="155" t="s">
        <v>413</v>
      </c>
      <c r="B102" s="154" t="s">
        <v>524</v>
      </c>
      <c r="C102" s="155" t="s">
        <v>87</v>
      </c>
      <c r="D102" s="155" t="s">
        <v>525</v>
      </c>
      <c r="E102" s="196" t="s">
        <v>489</v>
      </c>
      <c r="F102" s="196"/>
      <c r="G102" s="156" t="s">
        <v>490</v>
      </c>
      <c r="H102" s="157">
        <v>0.05</v>
      </c>
      <c r="I102" s="158">
        <v>33.35</v>
      </c>
      <c r="J102" s="158">
        <v>1.66</v>
      </c>
    </row>
    <row r="103" spans="1:10" ht="39.6" x14ac:dyDescent="0.25">
      <c r="A103" s="155" t="s">
        <v>413</v>
      </c>
      <c r="B103" s="154" t="s">
        <v>510</v>
      </c>
      <c r="C103" s="155" t="s">
        <v>87</v>
      </c>
      <c r="D103" s="155" t="s">
        <v>511</v>
      </c>
      <c r="E103" s="196" t="s">
        <v>489</v>
      </c>
      <c r="F103" s="196"/>
      <c r="G103" s="156" t="s">
        <v>490</v>
      </c>
      <c r="H103" s="157">
        <v>0.05</v>
      </c>
      <c r="I103" s="158">
        <v>23.71</v>
      </c>
      <c r="J103" s="158">
        <v>1.18</v>
      </c>
    </row>
    <row r="104" spans="1:10" x14ac:dyDescent="0.25">
      <c r="A104" s="146" t="s">
        <v>386</v>
      </c>
      <c r="B104" s="145" t="s">
        <v>526</v>
      </c>
      <c r="C104" s="146" t="s">
        <v>87</v>
      </c>
      <c r="D104" s="146" t="s">
        <v>527</v>
      </c>
      <c r="E104" s="197" t="s">
        <v>395</v>
      </c>
      <c r="F104" s="197"/>
      <c r="G104" s="147" t="s">
        <v>18</v>
      </c>
      <c r="H104" s="148">
        <v>8.9999999999999993E-3</v>
      </c>
      <c r="I104" s="149">
        <v>6.3</v>
      </c>
      <c r="J104" s="149">
        <v>0.05</v>
      </c>
    </row>
    <row r="105" spans="1:10" x14ac:dyDescent="0.25">
      <c r="A105" s="146" t="s">
        <v>386</v>
      </c>
      <c r="B105" s="145" t="s">
        <v>528</v>
      </c>
      <c r="C105" s="146" t="s">
        <v>87</v>
      </c>
      <c r="D105" s="146" t="s">
        <v>529</v>
      </c>
      <c r="E105" s="197" t="s">
        <v>395</v>
      </c>
      <c r="F105" s="197"/>
      <c r="G105" s="147" t="s">
        <v>530</v>
      </c>
      <c r="H105" s="148">
        <v>0.24</v>
      </c>
      <c r="I105" s="149">
        <v>0.75</v>
      </c>
      <c r="J105" s="149">
        <v>0.18</v>
      </c>
    </row>
    <row r="106" spans="1:10" ht="26.4" x14ac:dyDescent="0.25">
      <c r="A106" s="146" t="s">
        <v>386</v>
      </c>
      <c r="B106" s="145" t="s">
        <v>531</v>
      </c>
      <c r="C106" s="146" t="s">
        <v>87</v>
      </c>
      <c r="D106" s="146" t="s">
        <v>532</v>
      </c>
      <c r="E106" s="197" t="s">
        <v>395</v>
      </c>
      <c r="F106" s="197"/>
      <c r="G106" s="147" t="s">
        <v>19</v>
      </c>
      <c r="H106" s="148">
        <v>0.3</v>
      </c>
      <c r="I106" s="149">
        <v>1.98</v>
      </c>
      <c r="J106" s="149">
        <v>0.59</v>
      </c>
    </row>
    <row r="107" spans="1:10" x14ac:dyDescent="0.25">
      <c r="A107" s="146" t="s">
        <v>386</v>
      </c>
      <c r="B107" s="145" t="s">
        <v>533</v>
      </c>
      <c r="C107" s="146" t="s">
        <v>87</v>
      </c>
      <c r="D107" s="146" t="s">
        <v>534</v>
      </c>
      <c r="E107" s="197" t="s">
        <v>395</v>
      </c>
      <c r="F107" s="197"/>
      <c r="G107" s="147" t="s">
        <v>18</v>
      </c>
      <c r="H107" s="148">
        <v>8.9999999999999993E-3</v>
      </c>
      <c r="I107" s="149">
        <v>9.8000000000000007</v>
      </c>
      <c r="J107" s="149">
        <v>0.08</v>
      </c>
    </row>
    <row r="108" spans="1:10" ht="26.4" x14ac:dyDescent="0.25">
      <c r="A108" s="146" t="s">
        <v>386</v>
      </c>
      <c r="B108" s="145" t="s">
        <v>535</v>
      </c>
      <c r="C108" s="146" t="s">
        <v>87</v>
      </c>
      <c r="D108" s="146" t="s">
        <v>536</v>
      </c>
      <c r="E108" s="197" t="s">
        <v>395</v>
      </c>
      <c r="F108" s="197"/>
      <c r="G108" s="147" t="s">
        <v>18</v>
      </c>
      <c r="H108" s="148">
        <v>8.9999999999999993E-3</v>
      </c>
      <c r="I108" s="149">
        <v>10.55</v>
      </c>
      <c r="J108" s="149">
        <v>0.09</v>
      </c>
    </row>
    <row r="109" spans="1:10" ht="39.6" x14ac:dyDescent="0.25">
      <c r="A109" s="151"/>
      <c r="B109" s="151"/>
      <c r="C109" s="151"/>
      <c r="D109" s="151"/>
      <c r="E109" s="151" t="s">
        <v>405</v>
      </c>
      <c r="F109" s="150">
        <v>2.08</v>
      </c>
      <c r="G109" s="151" t="s">
        <v>406</v>
      </c>
      <c r="H109" s="150">
        <v>0</v>
      </c>
      <c r="I109" s="151" t="s">
        <v>407</v>
      </c>
      <c r="J109" s="150">
        <v>2.08</v>
      </c>
    </row>
    <row r="110" spans="1:10" ht="39.6" x14ac:dyDescent="0.25">
      <c r="A110" s="151"/>
      <c r="B110" s="151"/>
      <c r="C110" s="151"/>
      <c r="D110" s="151"/>
      <c r="E110" s="151" t="s">
        <v>408</v>
      </c>
      <c r="F110" s="150">
        <v>1.1038060000000001</v>
      </c>
      <c r="G110" s="151"/>
      <c r="H110" s="195" t="s">
        <v>409</v>
      </c>
      <c r="I110" s="195"/>
      <c r="J110" s="150">
        <v>4.93</v>
      </c>
    </row>
    <row r="111" spans="1:10" ht="14.4" thickBot="1" x14ac:dyDescent="0.3">
      <c r="A111" s="95"/>
      <c r="B111" s="95"/>
      <c r="C111" s="95"/>
      <c r="D111" s="95"/>
      <c r="E111" s="95"/>
      <c r="F111" s="95"/>
      <c r="G111" s="95" t="s">
        <v>410</v>
      </c>
      <c r="H111" s="152">
        <v>90</v>
      </c>
      <c r="I111" s="95" t="s">
        <v>411</v>
      </c>
      <c r="J111" s="96">
        <v>443.7</v>
      </c>
    </row>
    <row r="112" spans="1:10" ht="14.4" thickTop="1" x14ac:dyDescent="0.25">
      <c r="A112" s="153"/>
      <c r="B112" s="153"/>
      <c r="C112" s="153"/>
      <c r="D112" s="153"/>
      <c r="E112" s="153"/>
      <c r="F112" s="153"/>
      <c r="G112" s="153"/>
      <c r="H112" s="153"/>
      <c r="I112" s="153"/>
      <c r="J112" s="153"/>
    </row>
    <row r="113" spans="1:10" x14ac:dyDescent="0.25">
      <c r="A113" s="100" t="s">
        <v>133</v>
      </c>
      <c r="B113" s="99" t="s">
        <v>82</v>
      </c>
      <c r="C113" s="100" t="s">
        <v>83</v>
      </c>
      <c r="D113" s="100" t="s">
        <v>1</v>
      </c>
      <c r="E113" s="193" t="s">
        <v>97</v>
      </c>
      <c r="F113" s="193"/>
      <c r="G113" s="101" t="s">
        <v>2</v>
      </c>
      <c r="H113" s="99" t="s">
        <v>3</v>
      </c>
      <c r="I113" s="99" t="s">
        <v>84</v>
      </c>
      <c r="J113" s="99" t="s">
        <v>86</v>
      </c>
    </row>
    <row r="114" spans="1:10" ht="26.4" x14ac:dyDescent="0.25">
      <c r="A114" s="143" t="s">
        <v>385</v>
      </c>
      <c r="B114" s="52" t="s">
        <v>167</v>
      </c>
      <c r="C114" s="143" t="s">
        <v>90</v>
      </c>
      <c r="D114" s="143" t="s">
        <v>168</v>
      </c>
      <c r="E114" s="194" t="s">
        <v>537</v>
      </c>
      <c r="F114" s="194"/>
      <c r="G114" s="51" t="s">
        <v>6</v>
      </c>
      <c r="H114" s="144">
        <v>1</v>
      </c>
      <c r="I114" s="53">
        <v>25.68</v>
      </c>
      <c r="J114" s="53">
        <v>25.68</v>
      </c>
    </row>
    <row r="115" spans="1:10" x14ac:dyDescent="0.25">
      <c r="A115" s="146" t="s">
        <v>386</v>
      </c>
      <c r="B115" s="145" t="s">
        <v>540</v>
      </c>
      <c r="C115" s="146" t="s">
        <v>90</v>
      </c>
      <c r="D115" s="146" t="s">
        <v>541</v>
      </c>
      <c r="E115" s="197" t="s">
        <v>395</v>
      </c>
      <c r="F115" s="197"/>
      <c r="G115" s="147" t="s">
        <v>19</v>
      </c>
      <c r="H115" s="148">
        <v>0.2</v>
      </c>
      <c r="I115" s="149">
        <v>3.52</v>
      </c>
      <c r="J115" s="149">
        <v>0.7</v>
      </c>
    </row>
    <row r="116" spans="1:10" x14ac:dyDescent="0.25">
      <c r="A116" s="146" t="s">
        <v>386</v>
      </c>
      <c r="B116" s="145" t="s">
        <v>538</v>
      </c>
      <c r="C116" s="146" t="s">
        <v>90</v>
      </c>
      <c r="D116" s="146" t="s">
        <v>539</v>
      </c>
      <c r="E116" s="197" t="s">
        <v>395</v>
      </c>
      <c r="F116" s="197"/>
      <c r="G116" s="147" t="s">
        <v>19</v>
      </c>
      <c r="H116" s="148">
        <v>0.06</v>
      </c>
      <c r="I116" s="149">
        <v>7.54</v>
      </c>
      <c r="J116" s="149">
        <v>0.45</v>
      </c>
    </row>
    <row r="117" spans="1:10" x14ac:dyDescent="0.25">
      <c r="A117" s="146" t="s">
        <v>386</v>
      </c>
      <c r="B117" s="145" t="s">
        <v>542</v>
      </c>
      <c r="C117" s="146" t="s">
        <v>90</v>
      </c>
      <c r="D117" s="146" t="s">
        <v>543</v>
      </c>
      <c r="E117" s="197" t="s">
        <v>395</v>
      </c>
      <c r="F117" s="197"/>
      <c r="G117" s="147" t="s">
        <v>544</v>
      </c>
      <c r="H117" s="148">
        <v>0.01</v>
      </c>
      <c r="I117" s="149">
        <v>14.54</v>
      </c>
      <c r="J117" s="149">
        <v>0.14000000000000001</v>
      </c>
    </row>
    <row r="118" spans="1:10" x14ac:dyDescent="0.25">
      <c r="A118" s="146" t="s">
        <v>386</v>
      </c>
      <c r="B118" s="145" t="s">
        <v>545</v>
      </c>
      <c r="C118" s="146" t="s">
        <v>90</v>
      </c>
      <c r="D118" s="146" t="s">
        <v>546</v>
      </c>
      <c r="E118" s="197" t="s">
        <v>395</v>
      </c>
      <c r="F118" s="197"/>
      <c r="G118" s="147" t="s">
        <v>6</v>
      </c>
      <c r="H118" s="148">
        <v>1.1000000000000001</v>
      </c>
      <c r="I118" s="149">
        <v>3.1</v>
      </c>
      <c r="J118" s="149">
        <v>3.41</v>
      </c>
    </row>
    <row r="119" spans="1:10" x14ac:dyDescent="0.25">
      <c r="A119" s="146" t="s">
        <v>386</v>
      </c>
      <c r="B119" s="145" t="s">
        <v>549</v>
      </c>
      <c r="C119" s="146" t="s">
        <v>90</v>
      </c>
      <c r="D119" s="146" t="s">
        <v>550</v>
      </c>
      <c r="E119" s="197" t="s">
        <v>389</v>
      </c>
      <c r="F119" s="197"/>
      <c r="G119" s="147" t="s">
        <v>490</v>
      </c>
      <c r="H119" s="148">
        <v>0.44</v>
      </c>
      <c r="I119" s="149">
        <v>24.17</v>
      </c>
      <c r="J119" s="149">
        <v>10.63</v>
      </c>
    </row>
    <row r="120" spans="1:10" x14ac:dyDescent="0.25">
      <c r="A120" s="146" t="s">
        <v>386</v>
      </c>
      <c r="B120" s="145" t="s">
        <v>547</v>
      </c>
      <c r="C120" s="146" t="s">
        <v>90</v>
      </c>
      <c r="D120" s="146" t="s">
        <v>548</v>
      </c>
      <c r="E120" s="197" t="s">
        <v>389</v>
      </c>
      <c r="F120" s="197"/>
      <c r="G120" s="147" t="s">
        <v>490</v>
      </c>
      <c r="H120" s="148">
        <v>0.53</v>
      </c>
      <c r="I120" s="149">
        <v>19.54</v>
      </c>
      <c r="J120" s="149">
        <v>10.35</v>
      </c>
    </row>
    <row r="121" spans="1:10" ht="39.6" x14ac:dyDescent="0.25">
      <c r="A121" s="151"/>
      <c r="B121" s="151"/>
      <c r="C121" s="151"/>
      <c r="D121" s="151"/>
      <c r="E121" s="151" t="s">
        <v>405</v>
      </c>
      <c r="F121" s="150">
        <v>20.98</v>
      </c>
      <c r="G121" s="151" t="s">
        <v>406</v>
      </c>
      <c r="H121" s="150">
        <v>0</v>
      </c>
      <c r="I121" s="151" t="s">
        <v>407</v>
      </c>
      <c r="J121" s="150">
        <v>20.98</v>
      </c>
    </row>
    <row r="122" spans="1:10" ht="39.6" x14ac:dyDescent="0.25">
      <c r="A122" s="151"/>
      <c r="B122" s="151"/>
      <c r="C122" s="151"/>
      <c r="D122" s="151"/>
      <c r="E122" s="151" t="s">
        <v>408</v>
      </c>
      <c r="F122" s="150">
        <v>7.400976</v>
      </c>
      <c r="G122" s="151"/>
      <c r="H122" s="195" t="s">
        <v>409</v>
      </c>
      <c r="I122" s="195"/>
      <c r="J122" s="150">
        <v>33.08</v>
      </c>
    </row>
    <row r="123" spans="1:10" ht="14.4" thickBot="1" x14ac:dyDescent="0.3">
      <c r="A123" s="95"/>
      <c r="B123" s="95"/>
      <c r="C123" s="95"/>
      <c r="D123" s="95"/>
      <c r="E123" s="95"/>
      <c r="F123" s="95"/>
      <c r="G123" s="95" t="s">
        <v>410</v>
      </c>
      <c r="H123" s="152">
        <v>108</v>
      </c>
      <c r="I123" s="95" t="s">
        <v>411</v>
      </c>
      <c r="J123" s="96">
        <v>3572.64</v>
      </c>
    </row>
    <row r="124" spans="1:10" ht="14.4" thickTop="1" x14ac:dyDescent="0.25">
      <c r="A124" s="153"/>
      <c r="B124" s="153"/>
      <c r="C124" s="153"/>
      <c r="D124" s="153"/>
      <c r="E124" s="153"/>
      <c r="F124" s="153"/>
      <c r="G124" s="153"/>
      <c r="H124" s="153"/>
      <c r="I124" s="153"/>
      <c r="J124" s="153"/>
    </row>
    <row r="125" spans="1:10" x14ac:dyDescent="0.25">
      <c r="A125" s="142" t="s">
        <v>114</v>
      </c>
      <c r="B125" s="142"/>
      <c r="C125" s="142"/>
      <c r="D125" s="142" t="s">
        <v>169</v>
      </c>
      <c r="E125" s="142"/>
      <c r="F125" s="198"/>
      <c r="G125" s="198"/>
      <c r="H125" s="73"/>
      <c r="I125" s="142"/>
      <c r="J125" s="74">
        <v>5097.21</v>
      </c>
    </row>
    <row r="126" spans="1:10" x14ac:dyDescent="0.25">
      <c r="A126" s="100" t="s">
        <v>134</v>
      </c>
      <c r="B126" s="99" t="s">
        <v>82</v>
      </c>
      <c r="C126" s="100" t="s">
        <v>83</v>
      </c>
      <c r="D126" s="100" t="s">
        <v>1</v>
      </c>
      <c r="E126" s="193" t="s">
        <v>97</v>
      </c>
      <c r="F126" s="193"/>
      <c r="G126" s="101" t="s">
        <v>2</v>
      </c>
      <c r="H126" s="99" t="s">
        <v>3</v>
      </c>
      <c r="I126" s="99" t="s">
        <v>84</v>
      </c>
      <c r="J126" s="99" t="s">
        <v>86</v>
      </c>
    </row>
    <row r="127" spans="1:10" ht="26.4" x14ac:dyDescent="0.25">
      <c r="A127" s="143" t="s">
        <v>385</v>
      </c>
      <c r="B127" s="52" t="s">
        <v>170</v>
      </c>
      <c r="C127" s="143" t="s">
        <v>87</v>
      </c>
      <c r="D127" s="143" t="s">
        <v>171</v>
      </c>
      <c r="E127" s="194" t="s">
        <v>551</v>
      </c>
      <c r="F127" s="194"/>
      <c r="G127" s="51" t="s">
        <v>13</v>
      </c>
      <c r="H127" s="144">
        <v>1</v>
      </c>
      <c r="I127" s="53">
        <v>2.37</v>
      </c>
      <c r="J127" s="53">
        <v>2.37</v>
      </c>
    </row>
    <row r="128" spans="1:10" ht="39.6" x14ac:dyDescent="0.25">
      <c r="A128" s="155" t="s">
        <v>413</v>
      </c>
      <c r="B128" s="154" t="s">
        <v>552</v>
      </c>
      <c r="C128" s="155" t="s">
        <v>87</v>
      </c>
      <c r="D128" s="155" t="s">
        <v>553</v>
      </c>
      <c r="E128" s="196" t="s">
        <v>551</v>
      </c>
      <c r="F128" s="196"/>
      <c r="G128" s="156" t="s">
        <v>18</v>
      </c>
      <c r="H128" s="157">
        <v>1.2999999999999999E-3</v>
      </c>
      <c r="I128" s="158">
        <v>160.1</v>
      </c>
      <c r="J128" s="158">
        <v>0.2</v>
      </c>
    </row>
    <row r="129" spans="1:10" ht="39.6" x14ac:dyDescent="0.25">
      <c r="A129" s="155" t="s">
        <v>413</v>
      </c>
      <c r="B129" s="154" t="s">
        <v>554</v>
      </c>
      <c r="C129" s="155" t="s">
        <v>87</v>
      </c>
      <c r="D129" s="155" t="s">
        <v>555</v>
      </c>
      <c r="E129" s="196" t="s">
        <v>551</v>
      </c>
      <c r="F129" s="196"/>
      <c r="G129" s="156" t="s">
        <v>18</v>
      </c>
      <c r="H129" s="157">
        <v>1.2999999999999999E-3</v>
      </c>
      <c r="I129" s="158">
        <v>100.07</v>
      </c>
      <c r="J129" s="158">
        <v>0.13</v>
      </c>
    </row>
    <row r="130" spans="1:10" ht="39.6" x14ac:dyDescent="0.25">
      <c r="A130" s="155" t="s">
        <v>413</v>
      </c>
      <c r="B130" s="154" t="s">
        <v>556</v>
      </c>
      <c r="C130" s="155" t="s">
        <v>87</v>
      </c>
      <c r="D130" s="155" t="s">
        <v>557</v>
      </c>
      <c r="E130" s="196" t="s">
        <v>551</v>
      </c>
      <c r="F130" s="196"/>
      <c r="G130" s="156" t="s">
        <v>18</v>
      </c>
      <c r="H130" s="157">
        <v>1.2999999999999999E-3</v>
      </c>
      <c r="I130" s="158">
        <v>90.05</v>
      </c>
      <c r="J130" s="158">
        <v>0.11</v>
      </c>
    </row>
    <row r="131" spans="1:10" ht="39.6" x14ac:dyDescent="0.25">
      <c r="A131" s="155" t="s">
        <v>413</v>
      </c>
      <c r="B131" s="154" t="s">
        <v>558</v>
      </c>
      <c r="C131" s="155" t="s">
        <v>87</v>
      </c>
      <c r="D131" s="155" t="s">
        <v>559</v>
      </c>
      <c r="E131" s="196" t="s">
        <v>551</v>
      </c>
      <c r="F131" s="196"/>
      <c r="G131" s="156" t="s">
        <v>18</v>
      </c>
      <c r="H131" s="157">
        <v>5.0000000000000001E-3</v>
      </c>
      <c r="I131" s="158">
        <v>190.12</v>
      </c>
      <c r="J131" s="158">
        <v>0.95</v>
      </c>
    </row>
    <row r="132" spans="1:10" ht="39.6" x14ac:dyDescent="0.25">
      <c r="A132" s="155" t="s">
        <v>413</v>
      </c>
      <c r="B132" s="154" t="s">
        <v>560</v>
      </c>
      <c r="C132" s="155" t="s">
        <v>87</v>
      </c>
      <c r="D132" s="155" t="s">
        <v>561</v>
      </c>
      <c r="E132" s="196" t="s">
        <v>551</v>
      </c>
      <c r="F132" s="196"/>
      <c r="G132" s="156" t="s">
        <v>18</v>
      </c>
      <c r="H132" s="157">
        <v>6.3E-3</v>
      </c>
      <c r="I132" s="158">
        <v>110.07</v>
      </c>
      <c r="J132" s="158">
        <v>0.69</v>
      </c>
    </row>
    <row r="133" spans="1:10" ht="39.6" x14ac:dyDescent="0.25">
      <c r="A133" s="155" t="s">
        <v>413</v>
      </c>
      <c r="B133" s="154" t="s">
        <v>562</v>
      </c>
      <c r="C133" s="155" t="s">
        <v>87</v>
      </c>
      <c r="D133" s="155" t="s">
        <v>563</v>
      </c>
      <c r="E133" s="196" t="s">
        <v>551</v>
      </c>
      <c r="F133" s="196"/>
      <c r="G133" s="156" t="s">
        <v>18</v>
      </c>
      <c r="H133" s="157">
        <v>1.2999999999999999E-3</v>
      </c>
      <c r="I133" s="158">
        <v>230.15</v>
      </c>
      <c r="J133" s="158">
        <v>0.28999999999999998</v>
      </c>
    </row>
    <row r="134" spans="1:10" ht="39.6" x14ac:dyDescent="0.25">
      <c r="A134" s="151"/>
      <c r="B134" s="151"/>
      <c r="C134" s="151"/>
      <c r="D134" s="151"/>
      <c r="E134" s="151" t="s">
        <v>405</v>
      </c>
      <c r="F134" s="150">
        <v>2.23</v>
      </c>
      <c r="G134" s="151" t="s">
        <v>406</v>
      </c>
      <c r="H134" s="150">
        <v>0</v>
      </c>
      <c r="I134" s="151" t="s">
        <v>407</v>
      </c>
      <c r="J134" s="150">
        <v>2.23</v>
      </c>
    </row>
    <row r="135" spans="1:10" ht="39.6" x14ac:dyDescent="0.25">
      <c r="A135" s="151"/>
      <c r="B135" s="151"/>
      <c r="C135" s="151"/>
      <c r="D135" s="151"/>
      <c r="E135" s="151" t="s">
        <v>408</v>
      </c>
      <c r="F135" s="150">
        <v>0.68303400000000003</v>
      </c>
      <c r="G135" s="151"/>
      <c r="H135" s="195" t="s">
        <v>409</v>
      </c>
      <c r="I135" s="195"/>
      <c r="J135" s="150">
        <v>3.05</v>
      </c>
    </row>
    <row r="136" spans="1:10" ht="14.4" thickBot="1" x14ac:dyDescent="0.3">
      <c r="A136" s="95"/>
      <c r="B136" s="95"/>
      <c r="C136" s="95"/>
      <c r="D136" s="95"/>
      <c r="E136" s="95"/>
      <c r="F136" s="95"/>
      <c r="G136" s="95" t="s">
        <v>410</v>
      </c>
      <c r="H136" s="152">
        <v>767.55</v>
      </c>
      <c r="I136" s="95" t="s">
        <v>411</v>
      </c>
      <c r="J136" s="96">
        <v>2341.0300000000002</v>
      </c>
    </row>
    <row r="137" spans="1:10" ht="14.4" thickTop="1" x14ac:dyDescent="0.25">
      <c r="A137" s="153"/>
      <c r="B137" s="153"/>
      <c r="C137" s="153"/>
      <c r="D137" s="153"/>
      <c r="E137" s="153"/>
      <c r="F137" s="153"/>
      <c r="G137" s="153"/>
      <c r="H137" s="153"/>
      <c r="I137" s="153"/>
      <c r="J137" s="153"/>
    </row>
    <row r="138" spans="1:10" x14ac:dyDescent="0.25">
      <c r="A138" s="100" t="s">
        <v>135</v>
      </c>
      <c r="B138" s="99" t="s">
        <v>82</v>
      </c>
      <c r="C138" s="100" t="s">
        <v>83</v>
      </c>
      <c r="D138" s="100" t="s">
        <v>1</v>
      </c>
      <c r="E138" s="193" t="s">
        <v>97</v>
      </c>
      <c r="F138" s="193"/>
      <c r="G138" s="101" t="s">
        <v>2</v>
      </c>
      <c r="H138" s="99" t="s">
        <v>3</v>
      </c>
      <c r="I138" s="99" t="s">
        <v>84</v>
      </c>
      <c r="J138" s="99" t="s">
        <v>86</v>
      </c>
    </row>
    <row r="139" spans="1:10" ht="26.4" x14ac:dyDescent="0.25">
      <c r="A139" s="143" t="s">
        <v>385</v>
      </c>
      <c r="B139" s="52" t="s">
        <v>172</v>
      </c>
      <c r="C139" s="143" t="s">
        <v>128</v>
      </c>
      <c r="D139" s="143" t="s">
        <v>173</v>
      </c>
      <c r="E139" s="194" t="s">
        <v>564</v>
      </c>
      <c r="F139" s="194"/>
      <c r="G139" s="51" t="s">
        <v>174</v>
      </c>
      <c r="H139" s="144">
        <v>1</v>
      </c>
      <c r="I139" s="53">
        <v>305.64999999999998</v>
      </c>
      <c r="J139" s="53">
        <v>305.64999999999998</v>
      </c>
    </row>
    <row r="140" spans="1:10" ht="26.4" x14ac:dyDescent="0.25">
      <c r="A140" s="146" t="s">
        <v>386</v>
      </c>
      <c r="B140" s="145" t="s">
        <v>565</v>
      </c>
      <c r="C140" s="146" t="s">
        <v>128</v>
      </c>
      <c r="D140" s="146" t="s">
        <v>566</v>
      </c>
      <c r="E140" s="197" t="s">
        <v>395</v>
      </c>
      <c r="F140" s="197"/>
      <c r="G140" s="147" t="s">
        <v>567</v>
      </c>
      <c r="H140" s="148">
        <v>2.5</v>
      </c>
      <c r="I140" s="149">
        <v>5.86</v>
      </c>
      <c r="J140" s="149">
        <v>14.65</v>
      </c>
    </row>
    <row r="141" spans="1:10" ht="26.4" x14ac:dyDescent="0.25">
      <c r="A141" s="146" t="s">
        <v>386</v>
      </c>
      <c r="B141" s="145" t="s">
        <v>570</v>
      </c>
      <c r="C141" s="146" t="s">
        <v>128</v>
      </c>
      <c r="D141" s="146" t="s">
        <v>571</v>
      </c>
      <c r="E141" s="197" t="s">
        <v>389</v>
      </c>
      <c r="F141" s="197"/>
      <c r="G141" s="147" t="s">
        <v>490</v>
      </c>
      <c r="H141" s="148">
        <v>2</v>
      </c>
      <c r="I141" s="149">
        <v>79.22</v>
      </c>
      <c r="J141" s="149">
        <v>158.44</v>
      </c>
    </row>
    <row r="142" spans="1:10" ht="26.4" x14ac:dyDescent="0.25">
      <c r="A142" s="146" t="s">
        <v>386</v>
      </c>
      <c r="B142" s="145" t="s">
        <v>572</v>
      </c>
      <c r="C142" s="146" t="s">
        <v>128</v>
      </c>
      <c r="D142" s="146" t="s">
        <v>573</v>
      </c>
      <c r="E142" s="197" t="s">
        <v>389</v>
      </c>
      <c r="F142" s="197"/>
      <c r="G142" s="147" t="s">
        <v>490</v>
      </c>
      <c r="H142" s="148">
        <v>0.25</v>
      </c>
      <c r="I142" s="149">
        <v>157.13999999999999</v>
      </c>
      <c r="J142" s="149">
        <v>39.28</v>
      </c>
    </row>
    <row r="143" spans="1:10" ht="26.4" x14ac:dyDescent="0.25">
      <c r="A143" s="146" t="s">
        <v>386</v>
      </c>
      <c r="B143" s="145" t="s">
        <v>568</v>
      </c>
      <c r="C143" s="146" t="s">
        <v>128</v>
      </c>
      <c r="D143" s="146" t="s">
        <v>569</v>
      </c>
      <c r="E143" s="197" t="s">
        <v>389</v>
      </c>
      <c r="F143" s="197"/>
      <c r="G143" s="147" t="s">
        <v>490</v>
      </c>
      <c r="H143" s="148">
        <v>4</v>
      </c>
      <c r="I143" s="149">
        <v>23.32</v>
      </c>
      <c r="J143" s="149">
        <v>93.28</v>
      </c>
    </row>
    <row r="144" spans="1:10" ht="39.6" x14ac:dyDescent="0.25">
      <c r="A144" s="151"/>
      <c r="B144" s="151"/>
      <c r="C144" s="151"/>
      <c r="D144" s="151"/>
      <c r="E144" s="151" t="s">
        <v>405</v>
      </c>
      <c r="F144" s="150">
        <v>291</v>
      </c>
      <c r="G144" s="151" t="s">
        <v>406</v>
      </c>
      <c r="H144" s="150">
        <v>0</v>
      </c>
      <c r="I144" s="151" t="s">
        <v>407</v>
      </c>
      <c r="J144" s="150">
        <v>291</v>
      </c>
    </row>
    <row r="145" spans="1:10" ht="39.6" x14ac:dyDescent="0.25">
      <c r="A145" s="151"/>
      <c r="B145" s="151"/>
      <c r="C145" s="151"/>
      <c r="D145" s="151"/>
      <c r="E145" s="151" t="s">
        <v>408</v>
      </c>
      <c r="F145" s="150">
        <v>88.088329999999999</v>
      </c>
      <c r="G145" s="151"/>
      <c r="H145" s="195" t="s">
        <v>409</v>
      </c>
      <c r="I145" s="195"/>
      <c r="J145" s="150">
        <v>393.74</v>
      </c>
    </row>
    <row r="146" spans="1:10" ht="14.4" thickBot="1" x14ac:dyDescent="0.3">
      <c r="A146" s="95"/>
      <c r="B146" s="95"/>
      <c r="C146" s="95"/>
      <c r="D146" s="95"/>
      <c r="E146" s="95"/>
      <c r="F146" s="95"/>
      <c r="G146" s="95" t="s">
        <v>410</v>
      </c>
      <c r="H146" s="152">
        <v>7</v>
      </c>
      <c r="I146" s="95" t="s">
        <v>411</v>
      </c>
      <c r="J146" s="96">
        <v>2756.18</v>
      </c>
    </row>
    <row r="147" spans="1:10" ht="14.4" thickTop="1" x14ac:dyDescent="0.25">
      <c r="A147" s="153"/>
      <c r="B147" s="153"/>
      <c r="C147" s="153"/>
      <c r="D147" s="153"/>
      <c r="E147" s="153"/>
      <c r="F147" s="153"/>
      <c r="G147" s="153"/>
      <c r="H147" s="153"/>
      <c r="I147" s="153"/>
      <c r="J147" s="153"/>
    </row>
    <row r="148" spans="1:10" x14ac:dyDescent="0.25">
      <c r="A148" s="142" t="s">
        <v>115</v>
      </c>
      <c r="B148" s="142"/>
      <c r="C148" s="142"/>
      <c r="D148" s="142" t="s">
        <v>175</v>
      </c>
      <c r="E148" s="142"/>
      <c r="F148" s="198"/>
      <c r="G148" s="198"/>
      <c r="H148" s="73"/>
      <c r="I148" s="142"/>
      <c r="J148" s="74">
        <v>80358.84</v>
      </c>
    </row>
    <row r="149" spans="1:10" x14ac:dyDescent="0.25">
      <c r="A149" s="100" t="s">
        <v>136</v>
      </c>
      <c r="B149" s="99" t="s">
        <v>82</v>
      </c>
      <c r="C149" s="100" t="s">
        <v>83</v>
      </c>
      <c r="D149" s="100" t="s">
        <v>1</v>
      </c>
      <c r="E149" s="193" t="s">
        <v>97</v>
      </c>
      <c r="F149" s="193"/>
      <c r="G149" s="101" t="s">
        <v>2</v>
      </c>
      <c r="H149" s="99" t="s">
        <v>3</v>
      </c>
      <c r="I149" s="99" t="s">
        <v>84</v>
      </c>
      <c r="J149" s="99" t="s">
        <v>86</v>
      </c>
    </row>
    <row r="150" spans="1:10" ht="26.4" x14ac:dyDescent="0.25">
      <c r="A150" s="143" t="s">
        <v>385</v>
      </c>
      <c r="B150" s="52" t="s">
        <v>176</v>
      </c>
      <c r="C150" s="143" t="s">
        <v>87</v>
      </c>
      <c r="D150" s="143" t="s">
        <v>177</v>
      </c>
      <c r="E150" s="194" t="s">
        <v>574</v>
      </c>
      <c r="F150" s="194"/>
      <c r="G150" s="51" t="s">
        <v>6</v>
      </c>
      <c r="H150" s="144">
        <v>1</v>
      </c>
      <c r="I150" s="53">
        <v>540.92999999999995</v>
      </c>
      <c r="J150" s="53">
        <v>540.92999999999995</v>
      </c>
    </row>
    <row r="151" spans="1:10" ht="39.6" x14ac:dyDescent="0.25">
      <c r="A151" s="155" t="s">
        <v>413</v>
      </c>
      <c r="B151" s="154" t="s">
        <v>510</v>
      </c>
      <c r="C151" s="155" t="s">
        <v>87</v>
      </c>
      <c r="D151" s="155" t="s">
        <v>511</v>
      </c>
      <c r="E151" s="196" t="s">
        <v>489</v>
      </c>
      <c r="F151" s="196"/>
      <c r="G151" s="156" t="s">
        <v>490</v>
      </c>
      <c r="H151" s="157">
        <v>5</v>
      </c>
      <c r="I151" s="158">
        <v>23.71</v>
      </c>
      <c r="J151" s="158">
        <v>118.55</v>
      </c>
    </row>
    <row r="152" spans="1:10" ht="39.6" x14ac:dyDescent="0.25">
      <c r="A152" s="155" t="s">
        <v>413</v>
      </c>
      <c r="B152" s="154" t="s">
        <v>487</v>
      </c>
      <c r="C152" s="155" t="s">
        <v>87</v>
      </c>
      <c r="D152" s="155" t="s">
        <v>488</v>
      </c>
      <c r="E152" s="196" t="s">
        <v>489</v>
      </c>
      <c r="F152" s="196"/>
      <c r="G152" s="156" t="s">
        <v>490</v>
      </c>
      <c r="H152" s="157">
        <v>5</v>
      </c>
      <c r="I152" s="158">
        <v>27.02</v>
      </c>
      <c r="J152" s="158">
        <v>135.1</v>
      </c>
    </row>
    <row r="153" spans="1:10" ht="26.4" x14ac:dyDescent="0.25">
      <c r="A153" s="146" t="s">
        <v>386</v>
      </c>
      <c r="B153" s="145" t="s">
        <v>575</v>
      </c>
      <c r="C153" s="146" t="s">
        <v>87</v>
      </c>
      <c r="D153" s="146" t="s">
        <v>576</v>
      </c>
      <c r="E153" s="197" t="s">
        <v>395</v>
      </c>
      <c r="F153" s="197"/>
      <c r="G153" s="147" t="s">
        <v>19</v>
      </c>
      <c r="H153" s="148">
        <v>0.6</v>
      </c>
      <c r="I153" s="149">
        <v>3.19</v>
      </c>
      <c r="J153" s="149">
        <v>1.91</v>
      </c>
    </row>
    <row r="154" spans="1:10" x14ac:dyDescent="0.25">
      <c r="A154" s="146" t="s">
        <v>386</v>
      </c>
      <c r="B154" s="145" t="s">
        <v>577</v>
      </c>
      <c r="C154" s="146" t="s">
        <v>87</v>
      </c>
      <c r="D154" s="146" t="s">
        <v>578</v>
      </c>
      <c r="E154" s="197" t="s">
        <v>395</v>
      </c>
      <c r="F154" s="197"/>
      <c r="G154" s="147" t="s">
        <v>28</v>
      </c>
      <c r="H154" s="148">
        <v>0.3</v>
      </c>
      <c r="I154" s="149">
        <v>16.59</v>
      </c>
      <c r="J154" s="149">
        <v>4.97</v>
      </c>
    </row>
    <row r="155" spans="1:10" ht="26.4" x14ac:dyDescent="0.25">
      <c r="A155" s="146" t="s">
        <v>386</v>
      </c>
      <c r="B155" s="145" t="s">
        <v>579</v>
      </c>
      <c r="C155" s="146" t="s">
        <v>87</v>
      </c>
      <c r="D155" s="146" t="s">
        <v>580</v>
      </c>
      <c r="E155" s="197" t="s">
        <v>395</v>
      </c>
      <c r="F155" s="197"/>
      <c r="G155" s="147" t="s">
        <v>19</v>
      </c>
      <c r="H155" s="148">
        <v>6.37</v>
      </c>
      <c r="I155" s="149">
        <v>44.02</v>
      </c>
      <c r="J155" s="149">
        <v>280.39999999999998</v>
      </c>
    </row>
    <row r="156" spans="1:10" ht="39.6" x14ac:dyDescent="0.25">
      <c r="A156" s="151"/>
      <c r="B156" s="151"/>
      <c r="C156" s="151"/>
      <c r="D156" s="151"/>
      <c r="E156" s="151" t="s">
        <v>405</v>
      </c>
      <c r="F156" s="150">
        <v>178.3</v>
      </c>
      <c r="G156" s="151" t="s">
        <v>406</v>
      </c>
      <c r="H156" s="150">
        <v>0</v>
      </c>
      <c r="I156" s="151" t="s">
        <v>407</v>
      </c>
      <c r="J156" s="150">
        <v>178.3</v>
      </c>
    </row>
    <row r="157" spans="1:10" ht="39.6" x14ac:dyDescent="0.25">
      <c r="A157" s="151"/>
      <c r="B157" s="151"/>
      <c r="C157" s="151"/>
      <c r="D157" s="151"/>
      <c r="E157" s="151" t="s">
        <v>408</v>
      </c>
      <c r="F157" s="150">
        <v>155.89602600000001</v>
      </c>
      <c r="G157" s="151"/>
      <c r="H157" s="195" t="s">
        <v>409</v>
      </c>
      <c r="I157" s="195"/>
      <c r="J157" s="150">
        <v>696.83</v>
      </c>
    </row>
    <row r="158" spans="1:10" ht="14.4" thickBot="1" x14ac:dyDescent="0.3">
      <c r="A158" s="95"/>
      <c r="B158" s="95"/>
      <c r="C158" s="95"/>
      <c r="D158" s="95"/>
      <c r="E158" s="95"/>
      <c r="F158" s="95"/>
      <c r="G158" s="95" t="s">
        <v>410</v>
      </c>
      <c r="H158" s="152">
        <v>100</v>
      </c>
      <c r="I158" s="95" t="s">
        <v>411</v>
      </c>
      <c r="J158" s="96">
        <v>69683</v>
      </c>
    </row>
    <row r="159" spans="1:10" ht="14.4" thickTop="1" x14ac:dyDescent="0.25">
      <c r="A159" s="153"/>
      <c r="B159" s="153"/>
      <c r="C159" s="153"/>
      <c r="D159" s="153"/>
      <c r="E159" s="153"/>
      <c r="F159" s="153"/>
      <c r="G159" s="153"/>
      <c r="H159" s="153"/>
      <c r="I159" s="153"/>
      <c r="J159" s="153"/>
    </row>
    <row r="160" spans="1:10" x14ac:dyDescent="0.25">
      <c r="A160" s="100" t="s">
        <v>137</v>
      </c>
      <c r="B160" s="99" t="s">
        <v>82</v>
      </c>
      <c r="C160" s="100" t="s">
        <v>83</v>
      </c>
      <c r="D160" s="100" t="s">
        <v>1</v>
      </c>
      <c r="E160" s="193" t="s">
        <v>97</v>
      </c>
      <c r="F160" s="193"/>
      <c r="G160" s="101" t="s">
        <v>2</v>
      </c>
      <c r="H160" s="99" t="s">
        <v>3</v>
      </c>
      <c r="I160" s="99" t="s">
        <v>84</v>
      </c>
      <c r="J160" s="99" t="s">
        <v>86</v>
      </c>
    </row>
    <row r="161" spans="1:10" ht="26.4" x14ac:dyDescent="0.25">
      <c r="A161" s="143" t="s">
        <v>385</v>
      </c>
      <c r="B161" s="52" t="s">
        <v>178</v>
      </c>
      <c r="C161" s="143" t="s">
        <v>87</v>
      </c>
      <c r="D161" s="143" t="s">
        <v>179</v>
      </c>
      <c r="E161" s="194" t="s">
        <v>506</v>
      </c>
      <c r="F161" s="194"/>
      <c r="G161" s="51" t="s">
        <v>126</v>
      </c>
      <c r="H161" s="144">
        <v>1</v>
      </c>
      <c r="I161" s="53">
        <v>71.89</v>
      </c>
      <c r="J161" s="53">
        <v>71.89</v>
      </c>
    </row>
    <row r="162" spans="1:10" ht="39.6" x14ac:dyDescent="0.25">
      <c r="A162" s="155" t="s">
        <v>413</v>
      </c>
      <c r="B162" s="154" t="s">
        <v>585</v>
      </c>
      <c r="C162" s="155" t="s">
        <v>87</v>
      </c>
      <c r="D162" s="155" t="s">
        <v>586</v>
      </c>
      <c r="E162" s="196" t="s">
        <v>506</v>
      </c>
      <c r="F162" s="196"/>
      <c r="G162" s="156" t="s">
        <v>490</v>
      </c>
      <c r="H162" s="157">
        <v>1</v>
      </c>
      <c r="I162" s="158">
        <v>4.3499999999999996</v>
      </c>
      <c r="J162" s="158">
        <v>4.3499999999999996</v>
      </c>
    </row>
    <row r="163" spans="1:10" ht="39.6" x14ac:dyDescent="0.25">
      <c r="A163" s="155" t="s">
        <v>413</v>
      </c>
      <c r="B163" s="154" t="s">
        <v>583</v>
      </c>
      <c r="C163" s="155" t="s">
        <v>87</v>
      </c>
      <c r="D163" s="155" t="s">
        <v>584</v>
      </c>
      <c r="E163" s="196" t="s">
        <v>506</v>
      </c>
      <c r="F163" s="196"/>
      <c r="G163" s="156" t="s">
        <v>490</v>
      </c>
      <c r="H163" s="157">
        <v>1</v>
      </c>
      <c r="I163" s="158">
        <v>0.78</v>
      </c>
      <c r="J163" s="158">
        <v>0.78</v>
      </c>
    </row>
    <row r="164" spans="1:10" ht="39.6" x14ac:dyDescent="0.25">
      <c r="A164" s="155" t="s">
        <v>413</v>
      </c>
      <c r="B164" s="154" t="s">
        <v>581</v>
      </c>
      <c r="C164" s="155" t="s">
        <v>87</v>
      </c>
      <c r="D164" s="155" t="s">
        <v>582</v>
      </c>
      <c r="E164" s="196" t="s">
        <v>506</v>
      </c>
      <c r="F164" s="196"/>
      <c r="G164" s="156" t="s">
        <v>490</v>
      </c>
      <c r="H164" s="157">
        <v>1</v>
      </c>
      <c r="I164" s="158">
        <v>3.88</v>
      </c>
      <c r="J164" s="158">
        <v>3.88</v>
      </c>
    </row>
    <row r="165" spans="1:10" ht="39.6" x14ac:dyDescent="0.25">
      <c r="A165" s="155" t="s">
        <v>413</v>
      </c>
      <c r="B165" s="154" t="s">
        <v>587</v>
      </c>
      <c r="C165" s="155" t="s">
        <v>87</v>
      </c>
      <c r="D165" s="155" t="s">
        <v>588</v>
      </c>
      <c r="E165" s="196" t="s">
        <v>506</v>
      </c>
      <c r="F165" s="196"/>
      <c r="G165" s="156" t="s">
        <v>490</v>
      </c>
      <c r="H165" s="157">
        <v>1</v>
      </c>
      <c r="I165" s="158">
        <v>62.88</v>
      </c>
      <c r="J165" s="158">
        <v>62.88</v>
      </c>
    </row>
    <row r="166" spans="1:10" ht="39.6" x14ac:dyDescent="0.25">
      <c r="A166" s="151"/>
      <c r="B166" s="151"/>
      <c r="C166" s="151"/>
      <c r="D166" s="151"/>
      <c r="E166" s="151" t="s">
        <v>405</v>
      </c>
      <c r="F166" s="150">
        <v>0</v>
      </c>
      <c r="G166" s="151" t="s">
        <v>406</v>
      </c>
      <c r="H166" s="150">
        <v>0</v>
      </c>
      <c r="I166" s="151" t="s">
        <v>407</v>
      </c>
      <c r="J166" s="150">
        <v>0</v>
      </c>
    </row>
    <row r="167" spans="1:10" ht="39.6" x14ac:dyDescent="0.25">
      <c r="A167" s="151"/>
      <c r="B167" s="151"/>
      <c r="C167" s="151"/>
      <c r="D167" s="151"/>
      <c r="E167" s="151" t="s">
        <v>408</v>
      </c>
      <c r="F167" s="150">
        <v>20.718698</v>
      </c>
      <c r="G167" s="151"/>
      <c r="H167" s="195" t="s">
        <v>409</v>
      </c>
      <c r="I167" s="195"/>
      <c r="J167" s="150">
        <v>92.61</v>
      </c>
    </row>
    <row r="168" spans="1:10" ht="14.4" thickBot="1" x14ac:dyDescent="0.3">
      <c r="A168" s="95"/>
      <c r="B168" s="95"/>
      <c r="C168" s="95"/>
      <c r="D168" s="95"/>
      <c r="E168" s="95"/>
      <c r="F168" s="95"/>
      <c r="G168" s="95" t="s">
        <v>410</v>
      </c>
      <c r="H168" s="152">
        <v>112</v>
      </c>
      <c r="I168" s="95" t="s">
        <v>411</v>
      </c>
      <c r="J168" s="96">
        <v>10372.32</v>
      </c>
    </row>
    <row r="169" spans="1:10" ht="14.4" thickTop="1" x14ac:dyDescent="0.25">
      <c r="A169" s="153"/>
      <c r="B169" s="153"/>
      <c r="C169" s="153"/>
      <c r="D169" s="153"/>
      <c r="E169" s="153"/>
      <c r="F169" s="153"/>
      <c r="G169" s="153"/>
      <c r="H169" s="153"/>
      <c r="I169" s="153"/>
      <c r="J169" s="153"/>
    </row>
    <row r="170" spans="1:10" x14ac:dyDescent="0.25">
      <c r="A170" s="100" t="s">
        <v>138</v>
      </c>
      <c r="B170" s="99" t="s">
        <v>82</v>
      </c>
      <c r="C170" s="100" t="s">
        <v>83</v>
      </c>
      <c r="D170" s="100" t="s">
        <v>1</v>
      </c>
      <c r="E170" s="193" t="s">
        <v>97</v>
      </c>
      <c r="F170" s="193"/>
      <c r="G170" s="101" t="s">
        <v>2</v>
      </c>
      <c r="H170" s="99" t="s">
        <v>3</v>
      </c>
      <c r="I170" s="99" t="s">
        <v>84</v>
      </c>
      <c r="J170" s="99" t="s">
        <v>86</v>
      </c>
    </row>
    <row r="171" spans="1:10" ht="39.6" x14ac:dyDescent="0.25">
      <c r="A171" s="143" t="s">
        <v>385</v>
      </c>
      <c r="B171" s="52" t="s">
        <v>180</v>
      </c>
      <c r="C171" s="143" t="s">
        <v>87</v>
      </c>
      <c r="D171" s="143" t="s">
        <v>181</v>
      </c>
      <c r="E171" s="194" t="s">
        <v>506</v>
      </c>
      <c r="F171" s="194"/>
      <c r="G171" s="51" t="s">
        <v>126</v>
      </c>
      <c r="H171" s="144">
        <v>1</v>
      </c>
      <c r="I171" s="53">
        <v>2.1</v>
      </c>
      <c r="J171" s="53">
        <v>2.1</v>
      </c>
    </row>
    <row r="172" spans="1:10" ht="39.6" x14ac:dyDescent="0.25">
      <c r="A172" s="155" t="s">
        <v>413</v>
      </c>
      <c r="B172" s="154" t="s">
        <v>591</v>
      </c>
      <c r="C172" s="155" t="s">
        <v>87</v>
      </c>
      <c r="D172" s="155" t="s">
        <v>592</v>
      </c>
      <c r="E172" s="196" t="s">
        <v>506</v>
      </c>
      <c r="F172" s="196"/>
      <c r="G172" s="156" t="s">
        <v>490</v>
      </c>
      <c r="H172" s="157">
        <v>1</v>
      </c>
      <c r="I172" s="158">
        <v>1.44</v>
      </c>
      <c r="J172" s="158">
        <v>1.44</v>
      </c>
    </row>
    <row r="173" spans="1:10" ht="39.6" x14ac:dyDescent="0.25">
      <c r="A173" s="155" t="s">
        <v>413</v>
      </c>
      <c r="B173" s="154" t="s">
        <v>589</v>
      </c>
      <c r="C173" s="155" t="s">
        <v>87</v>
      </c>
      <c r="D173" s="155" t="s">
        <v>590</v>
      </c>
      <c r="E173" s="196" t="s">
        <v>506</v>
      </c>
      <c r="F173" s="196"/>
      <c r="G173" s="156" t="s">
        <v>490</v>
      </c>
      <c r="H173" s="157">
        <v>1</v>
      </c>
      <c r="I173" s="158">
        <v>0.33</v>
      </c>
      <c r="J173" s="158">
        <v>0.33</v>
      </c>
    </row>
    <row r="174" spans="1:10" ht="39.6" x14ac:dyDescent="0.25">
      <c r="A174" s="155" t="s">
        <v>413</v>
      </c>
      <c r="B174" s="154" t="s">
        <v>593</v>
      </c>
      <c r="C174" s="155" t="s">
        <v>87</v>
      </c>
      <c r="D174" s="155" t="s">
        <v>594</v>
      </c>
      <c r="E174" s="196" t="s">
        <v>506</v>
      </c>
      <c r="F174" s="196"/>
      <c r="G174" s="156" t="s">
        <v>490</v>
      </c>
      <c r="H174" s="157">
        <v>1</v>
      </c>
      <c r="I174" s="158">
        <v>0.3</v>
      </c>
      <c r="J174" s="158">
        <v>0.3</v>
      </c>
    </row>
    <row r="175" spans="1:10" ht="39.6" x14ac:dyDescent="0.25">
      <c r="A175" s="155" t="s">
        <v>413</v>
      </c>
      <c r="B175" s="154" t="s">
        <v>595</v>
      </c>
      <c r="C175" s="155" t="s">
        <v>87</v>
      </c>
      <c r="D175" s="155" t="s">
        <v>596</v>
      </c>
      <c r="E175" s="196" t="s">
        <v>506</v>
      </c>
      <c r="F175" s="196"/>
      <c r="G175" s="156" t="s">
        <v>490</v>
      </c>
      <c r="H175" s="157">
        <v>1</v>
      </c>
      <c r="I175" s="158">
        <v>0.03</v>
      </c>
      <c r="J175" s="158">
        <v>0.03</v>
      </c>
    </row>
    <row r="176" spans="1:10" ht="39.6" x14ac:dyDescent="0.25">
      <c r="A176" s="151"/>
      <c r="B176" s="151"/>
      <c r="C176" s="151"/>
      <c r="D176" s="151"/>
      <c r="E176" s="151" t="s">
        <v>405</v>
      </c>
      <c r="F176" s="150">
        <v>0</v>
      </c>
      <c r="G176" s="151" t="s">
        <v>406</v>
      </c>
      <c r="H176" s="150">
        <v>0</v>
      </c>
      <c r="I176" s="151" t="s">
        <v>407</v>
      </c>
      <c r="J176" s="150">
        <v>0</v>
      </c>
    </row>
    <row r="177" spans="1:10" ht="39.6" x14ac:dyDescent="0.25">
      <c r="A177" s="151"/>
      <c r="B177" s="151"/>
      <c r="C177" s="151"/>
      <c r="D177" s="151"/>
      <c r="E177" s="151" t="s">
        <v>408</v>
      </c>
      <c r="F177" s="150">
        <v>0.60521999999999998</v>
      </c>
      <c r="G177" s="151"/>
      <c r="H177" s="195" t="s">
        <v>409</v>
      </c>
      <c r="I177" s="195"/>
      <c r="J177" s="150">
        <v>2.71</v>
      </c>
    </row>
    <row r="178" spans="1:10" ht="14.4" thickBot="1" x14ac:dyDescent="0.3">
      <c r="A178" s="95"/>
      <c r="B178" s="95"/>
      <c r="C178" s="95"/>
      <c r="D178" s="95"/>
      <c r="E178" s="95"/>
      <c r="F178" s="95"/>
      <c r="G178" s="95" t="s">
        <v>410</v>
      </c>
      <c r="H178" s="152">
        <v>112</v>
      </c>
      <c r="I178" s="95" t="s">
        <v>411</v>
      </c>
      <c r="J178" s="96">
        <v>303.52</v>
      </c>
    </row>
    <row r="179" spans="1:10" ht="14.4" thickTop="1" x14ac:dyDescent="0.25">
      <c r="A179" s="153"/>
      <c r="B179" s="153"/>
      <c r="C179" s="153"/>
      <c r="D179" s="153"/>
      <c r="E179" s="153"/>
      <c r="F179" s="153"/>
      <c r="G179" s="153"/>
      <c r="H179" s="153"/>
      <c r="I179" s="153"/>
      <c r="J179" s="153"/>
    </row>
    <row r="180" spans="1:10" x14ac:dyDescent="0.25">
      <c r="A180" s="142" t="s">
        <v>10</v>
      </c>
      <c r="B180" s="142"/>
      <c r="C180" s="142"/>
      <c r="D180" s="142" t="s">
        <v>182</v>
      </c>
      <c r="E180" s="142"/>
      <c r="F180" s="198"/>
      <c r="G180" s="198"/>
      <c r="H180" s="73"/>
      <c r="I180" s="142"/>
      <c r="J180" s="74">
        <v>243022.11</v>
      </c>
    </row>
    <row r="181" spans="1:10" x14ac:dyDescent="0.25">
      <c r="A181" s="142" t="s">
        <v>11</v>
      </c>
      <c r="B181" s="142"/>
      <c r="C181" s="142"/>
      <c r="D181" s="142" t="s">
        <v>183</v>
      </c>
      <c r="E181" s="142"/>
      <c r="F181" s="198"/>
      <c r="G181" s="198"/>
      <c r="H181" s="73"/>
      <c r="I181" s="142"/>
      <c r="J181" s="74">
        <v>9351.08</v>
      </c>
    </row>
    <row r="182" spans="1:10" x14ac:dyDescent="0.25">
      <c r="A182" s="100" t="s">
        <v>139</v>
      </c>
      <c r="B182" s="99" t="s">
        <v>82</v>
      </c>
      <c r="C182" s="100" t="s">
        <v>83</v>
      </c>
      <c r="D182" s="100" t="s">
        <v>1</v>
      </c>
      <c r="E182" s="193" t="s">
        <v>97</v>
      </c>
      <c r="F182" s="193"/>
      <c r="G182" s="101" t="s">
        <v>2</v>
      </c>
      <c r="H182" s="99" t="s">
        <v>3</v>
      </c>
      <c r="I182" s="99" t="s">
        <v>84</v>
      </c>
      <c r="J182" s="99" t="s">
        <v>86</v>
      </c>
    </row>
    <row r="183" spans="1:10" ht="26.4" x14ac:dyDescent="0.25">
      <c r="A183" s="143" t="s">
        <v>385</v>
      </c>
      <c r="B183" s="52" t="s">
        <v>184</v>
      </c>
      <c r="C183" s="143" t="s">
        <v>1373</v>
      </c>
      <c r="D183" s="143" t="s">
        <v>185</v>
      </c>
      <c r="E183" s="194">
        <v>7.05</v>
      </c>
      <c r="F183" s="194"/>
      <c r="G183" s="51" t="s">
        <v>13</v>
      </c>
      <c r="H183" s="144">
        <v>1</v>
      </c>
      <c r="I183" s="53">
        <v>40.950000000000003</v>
      </c>
      <c r="J183" s="53">
        <v>40.950000000000003</v>
      </c>
    </row>
    <row r="184" spans="1:10" ht="39.6" x14ac:dyDescent="0.25">
      <c r="A184" s="146" t="s">
        <v>386</v>
      </c>
      <c r="B184" s="145" t="s">
        <v>597</v>
      </c>
      <c r="C184" s="146" t="s">
        <v>1373</v>
      </c>
      <c r="D184" s="146" t="s">
        <v>598</v>
      </c>
      <c r="E184" s="197" t="s">
        <v>389</v>
      </c>
      <c r="F184" s="197"/>
      <c r="G184" s="147" t="s">
        <v>390</v>
      </c>
      <c r="H184" s="148">
        <v>9.3299999999999994E-2</v>
      </c>
      <c r="I184" s="149">
        <v>16.87</v>
      </c>
      <c r="J184" s="149">
        <v>1.57</v>
      </c>
    </row>
    <row r="185" spans="1:10" ht="39.6" x14ac:dyDescent="0.25">
      <c r="A185" s="146" t="s">
        <v>386</v>
      </c>
      <c r="B185" s="145" t="s">
        <v>599</v>
      </c>
      <c r="C185" s="146" t="s">
        <v>1373</v>
      </c>
      <c r="D185" s="146" t="s">
        <v>600</v>
      </c>
      <c r="E185" s="197" t="s">
        <v>395</v>
      </c>
      <c r="F185" s="197"/>
      <c r="G185" s="147" t="s">
        <v>390</v>
      </c>
      <c r="H185" s="148">
        <v>9.3299999999999994E-2</v>
      </c>
      <c r="I185" s="149">
        <v>310.66000000000003</v>
      </c>
      <c r="J185" s="149">
        <v>28.98</v>
      </c>
    </row>
    <row r="186" spans="1:10" ht="39.6" x14ac:dyDescent="0.25">
      <c r="A186" s="146" t="s">
        <v>386</v>
      </c>
      <c r="B186" s="145" t="s">
        <v>601</v>
      </c>
      <c r="C186" s="146" t="s">
        <v>1373</v>
      </c>
      <c r="D186" s="146" t="s">
        <v>602</v>
      </c>
      <c r="E186" s="197" t="s">
        <v>395</v>
      </c>
      <c r="F186" s="197"/>
      <c r="G186" s="147" t="s">
        <v>390</v>
      </c>
      <c r="H186" s="148">
        <v>5.0500000000000003E-2</v>
      </c>
      <c r="I186" s="149">
        <v>206.07</v>
      </c>
      <c r="J186" s="149">
        <v>10.4</v>
      </c>
    </row>
    <row r="187" spans="1:10" ht="39.6" x14ac:dyDescent="0.25">
      <c r="A187" s="151"/>
      <c r="B187" s="151"/>
      <c r="C187" s="151"/>
      <c r="D187" s="151"/>
      <c r="E187" s="151" t="s">
        <v>405</v>
      </c>
      <c r="F187" s="150">
        <v>1.57</v>
      </c>
      <c r="G187" s="151" t="s">
        <v>406</v>
      </c>
      <c r="H187" s="150">
        <v>0</v>
      </c>
      <c r="I187" s="151" t="s">
        <v>407</v>
      </c>
      <c r="J187" s="150">
        <v>1.57</v>
      </c>
    </row>
    <row r="188" spans="1:10" ht="39.6" x14ac:dyDescent="0.25">
      <c r="A188" s="151"/>
      <c r="B188" s="151"/>
      <c r="C188" s="151"/>
      <c r="D188" s="151"/>
      <c r="E188" s="151" t="s">
        <v>408</v>
      </c>
      <c r="F188" s="150">
        <v>11.80179</v>
      </c>
      <c r="G188" s="151"/>
      <c r="H188" s="195" t="s">
        <v>409</v>
      </c>
      <c r="I188" s="195"/>
      <c r="J188" s="150">
        <v>52.75</v>
      </c>
    </row>
    <row r="189" spans="1:10" ht="14.4" thickBot="1" x14ac:dyDescent="0.3">
      <c r="A189" s="95"/>
      <c r="B189" s="95"/>
      <c r="C189" s="95"/>
      <c r="D189" s="95"/>
      <c r="E189" s="95"/>
      <c r="F189" s="95"/>
      <c r="G189" s="95" t="s">
        <v>410</v>
      </c>
      <c r="H189" s="152">
        <v>120.12</v>
      </c>
      <c r="I189" s="95" t="s">
        <v>411</v>
      </c>
      <c r="J189" s="96">
        <v>6336.33</v>
      </c>
    </row>
    <row r="190" spans="1:10" ht="14.4" thickTop="1" x14ac:dyDescent="0.25">
      <c r="A190" s="153"/>
      <c r="B190" s="153"/>
      <c r="C190" s="153"/>
      <c r="D190" s="153"/>
      <c r="E190" s="153"/>
      <c r="F190" s="153"/>
      <c r="G190" s="153"/>
      <c r="H190" s="153"/>
      <c r="I190" s="153"/>
      <c r="J190" s="153"/>
    </row>
    <row r="191" spans="1:10" x14ac:dyDescent="0.25">
      <c r="A191" s="100" t="s">
        <v>140</v>
      </c>
      <c r="B191" s="99" t="s">
        <v>82</v>
      </c>
      <c r="C191" s="100" t="s">
        <v>83</v>
      </c>
      <c r="D191" s="100" t="s">
        <v>1</v>
      </c>
      <c r="E191" s="193" t="s">
        <v>97</v>
      </c>
      <c r="F191" s="193"/>
      <c r="G191" s="101" t="s">
        <v>2</v>
      </c>
      <c r="H191" s="99" t="s">
        <v>3</v>
      </c>
      <c r="I191" s="99" t="s">
        <v>84</v>
      </c>
      <c r="J191" s="99" t="s">
        <v>86</v>
      </c>
    </row>
    <row r="192" spans="1:10" ht="39.6" x14ac:dyDescent="0.25">
      <c r="A192" s="143" t="s">
        <v>385</v>
      </c>
      <c r="B192" s="52" t="s">
        <v>186</v>
      </c>
      <c r="C192" s="143" t="s">
        <v>87</v>
      </c>
      <c r="D192" s="143" t="s">
        <v>187</v>
      </c>
      <c r="E192" s="194" t="s">
        <v>483</v>
      </c>
      <c r="F192" s="194"/>
      <c r="G192" s="51" t="s">
        <v>13</v>
      </c>
      <c r="H192" s="144">
        <v>1</v>
      </c>
      <c r="I192" s="53">
        <v>15.1</v>
      </c>
      <c r="J192" s="53">
        <v>15.1</v>
      </c>
    </row>
    <row r="193" spans="1:10" ht="39.6" x14ac:dyDescent="0.25">
      <c r="A193" s="155" t="s">
        <v>413</v>
      </c>
      <c r="B193" s="154" t="s">
        <v>603</v>
      </c>
      <c r="C193" s="155" t="s">
        <v>87</v>
      </c>
      <c r="D193" s="155" t="s">
        <v>604</v>
      </c>
      <c r="E193" s="196" t="s">
        <v>506</v>
      </c>
      <c r="F193" s="196"/>
      <c r="G193" s="156" t="s">
        <v>126</v>
      </c>
      <c r="H193" s="157">
        <v>6.25E-2</v>
      </c>
      <c r="I193" s="158">
        <v>194.35</v>
      </c>
      <c r="J193" s="158">
        <v>12.14</v>
      </c>
    </row>
    <row r="194" spans="1:10" ht="39.6" x14ac:dyDescent="0.25">
      <c r="A194" s="155" t="s">
        <v>413</v>
      </c>
      <c r="B194" s="154" t="s">
        <v>510</v>
      </c>
      <c r="C194" s="155" t="s">
        <v>87</v>
      </c>
      <c r="D194" s="155" t="s">
        <v>511</v>
      </c>
      <c r="E194" s="196" t="s">
        <v>489</v>
      </c>
      <c r="F194" s="196"/>
      <c r="G194" s="156" t="s">
        <v>490</v>
      </c>
      <c r="H194" s="157">
        <v>0.125</v>
      </c>
      <c r="I194" s="158">
        <v>23.71</v>
      </c>
      <c r="J194" s="158">
        <v>2.96</v>
      </c>
    </row>
    <row r="195" spans="1:10" ht="39.6" x14ac:dyDescent="0.25">
      <c r="A195" s="151"/>
      <c r="B195" s="151"/>
      <c r="C195" s="151"/>
      <c r="D195" s="151"/>
      <c r="E195" s="151" t="s">
        <v>405</v>
      </c>
      <c r="F195" s="150">
        <v>3.55</v>
      </c>
      <c r="G195" s="151" t="s">
        <v>406</v>
      </c>
      <c r="H195" s="150">
        <v>0</v>
      </c>
      <c r="I195" s="151" t="s">
        <v>407</v>
      </c>
      <c r="J195" s="150">
        <v>3.55</v>
      </c>
    </row>
    <row r="196" spans="1:10" ht="39.6" x14ac:dyDescent="0.25">
      <c r="A196" s="151"/>
      <c r="B196" s="151"/>
      <c r="C196" s="151"/>
      <c r="D196" s="151"/>
      <c r="E196" s="151" t="s">
        <v>408</v>
      </c>
      <c r="F196" s="150">
        <v>4.35182</v>
      </c>
      <c r="G196" s="151"/>
      <c r="H196" s="195" t="s">
        <v>409</v>
      </c>
      <c r="I196" s="195"/>
      <c r="J196" s="150">
        <v>19.45</v>
      </c>
    </row>
    <row r="197" spans="1:10" ht="14.4" thickBot="1" x14ac:dyDescent="0.3">
      <c r="A197" s="95"/>
      <c r="B197" s="95"/>
      <c r="C197" s="95"/>
      <c r="D197" s="95"/>
      <c r="E197" s="95"/>
      <c r="F197" s="95"/>
      <c r="G197" s="95" t="s">
        <v>410</v>
      </c>
      <c r="H197" s="152">
        <v>155</v>
      </c>
      <c r="I197" s="95" t="s">
        <v>411</v>
      </c>
      <c r="J197" s="96">
        <v>3014.75</v>
      </c>
    </row>
    <row r="198" spans="1:10" ht="14.4" thickTop="1" x14ac:dyDescent="0.25">
      <c r="A198" s="153"/>
      <c r="B198" s="153"/>
      <c r="C198" s="153"/>
      <c r="D198" s="153"/>
      <c r="E198" s="153"/>
      <c r="F198" s="153"/>
      <c r="G198" s="153"/>
      <c r="H198" s="153"/>
      <c r="I198" s="153"/>
      <c r="J198" s="153"/>
    </row>
    <row r="199" spans="1:10" x14ac:dyDescent="0.25">
      <c r="A199" s="142" t="s">
        <v>12</v>
      </c>
      <c r="B199" s="142"/>
      <c r="C199" s="142"/>
      <c r="D199" s="142" t="s">
        <v>188</v>
      </c>
      <c r="E199" s="142"/>
      <c r="F199" s="198"/>
      <c r="G199" s="198"/>
      <c r="H199" s="73"/>
      <c r="I199" s="142"/>
      <c r="J199" s="74">
        <v>233671.03</v>
      </c>
    </row>
    <row r="200" spans="1:10" x14ac:dyDescent="0.25">
      <c r="A200" s="100" t="s">
        <v>141</v>
      </c>
      <c r="B200" s="99" t="s">
        <v>82</v>
      </c>
      <c r="C200" s="100" t="s">
        <v>83</v>
      </c>
      <c r="D200" s="100" t="s">
        <v>1</v>
      </c>
      <c r="E200" s="193" t="s">
        <v>97</v>
      </c>
      <c r="F200" s="193"/>
      <c r="G200" s="101" t="s">
        <v>2</v>
      </c>
      <c r="H200" s="99" t="s">
        <v>3</v>
      </c>
      <c r="I200" s="99" t="s">
        <v>84</v>
      </c>
      <c r="J200" s="99" t="s">
        <v>86</v>
      </c>
    </row>
    <row r="201" spans="1:10" ht="52.8" x14ac:dyDescent="0.25">
      <c r="A201" s="143" t="s">
        <v>385</v>
      </c>
      <c r="B201" s="52" t="s">
        <v>189</v>
      </c>
      <c r="C201" s="143" t="s">
        <v>87</v>
      </c>
      <c r="D201" s="143" t="s">
        <v>190</v>
      </c>
      <c r="E201" s="194" t="s">
        <v>483</v>
      </c>
      <c r="F201" s="194"/>
      <c r="G201" s="51" t="s">
        <v>13</v>
      </c>
      <c r="H201" s="144">
        <v>1</v>
      </c>
      <c r="I201" s="53">
        <v>58.7</v>
      </c>
      <c r="J201" s="53">
        <v>58.7</v>
      </c>
    </row>
    <row r="202" spans="1:10" ht="39.6" x14ac:dyDescent="0.25">
      <c r="A202" s="155" t="s">
        <v>413</v>
      </c>
      <c r="B202" s="154" t="s">
        <v>605</v>
      </c>
      <c r="C202" s="155" t="s">
        <v>87</v>
      </c>
      <c r="D202" s="155" t="s">
        <v>606</v>
      </c>
      <c r="E202" s="196" t="s">
        <v>506</v>
      </c>
      <c r="F202" s="196"/>
      <c r="G202" s="156" t="s">
        <v>126</v>
      </c>
      <c r="H202" s="157">
        <v>2.8000000000000001E-2</v>
      </c>
      <c r="I202" s="158">
        <v>199.87</v>
      </c>
      <c r="J202" s="158">
        <v>5.59</v>
      </c>
    </row>
    <row r="203" spans="1:10" ht="39.6" x14ac:dyDescent="0.25">
      <c r="A203" s="155" t="s">
        <v>413</v>
      </c>
      <c r="B203" s="154" t="s">
        <v>607</v>
      </c>
      <c r="C203" s="155" t="s">
        <v>87</v>
      </c>
      <c r="D203" s="155" t="s">
        <v>608</v>
      </c>
      <c r="E203" s="196" t="s">
        <v>506</v>
      </c>
      <c r="F203" s="196"/>
      <c r="G203" s="156" t="s">
        <v>509</v>
      </c>
      <c r="H203" s="157">
        <v>3.5999999999999997E-2</v>
      </c>
      <c r="I203" s="158">
        <v>82.68</v>
      </c>
      <c r="J203" s="158">
        <v>2.97</v>
      </c>
    </row>
    <row r="204" spans="1:10" ht="52.8" x14ac:dyDescent="0.25">
      <c r="A204" s="155" t="s">
        <v>413</v>
      </c>
      <c r="B204" s="154" t="s">
        <v>609</v>
      </c>
      <c r="C204" s="155" t="s">
        <v>87</v>
      </c>
      <c r="D204" s="155" t="s">
        <v>610</v>
      </c>
      <c r="E204" s="196" t="s">
        <v>506</v>
      </c>
      <c r="F204" s="196"/>
      <c r="G204" s="156" t="s">
        <v>126</v>
      </c>
      <c r="H204" s="157">
        <v>6.0000000000000001E-3</v>
      </c>
      <c r="I204" s="158">
        <v>302.35000000000002</v>
      </c>
      <c r="J204" s="158">
        <v>1.81</v>
      </c>
    </row>
    <row r="205" spans="1:10" ht="52.8" x14ac:dyDescent="0.25">
      <c r="A205" s="155" t="s">
        <v>413</v>
      </c>
      <c r="B205" s="154" t="s">
        <v>613</v>
      </c>
      <c r="C205" s="155" t="s">
        <v>87</v>
      </c>
      <c r="D205" s="155" t="s">
        <v>614</v>
      </c>
      <c r="E205" s="196" t="s">
        <v>506</v>
      </c>
      <c r="F205" s="196"/>
      <c r="G205" s="156" t="s">
        <v>509</v>
      </c>
      <c r="H205" s="157">
        <v>3.0000000000000001E-3</v>
      </c>
      <c r="I205" s="158">
        <v>67.88</v>
      </c>
      <c r="J205" s="158">
        <v>0.2</v>
      </c>
    </row>
    <row r="206" spans="1:10" ht="39.6" x14ac:dyDescent="0.25">
      <c r="A206" s="155" t="s">
        <v>413</v>
      </c>
      <c r="B206" s="154" t="s">
        <v>510</v>
      </c>
      <c r="C206" s="155" t="s">
        <v>87</v>
      </c>
      <c r="D206" s="155" t="s">
        <v>511</v>
      </c>
      <c r="E206" s="196" t="s">
        <v>489</v>
      </c>
      <c r="F206" s="196"/>
      <c r="G206" s="156" t="s">
        <v>490</v>
      </c>
      <c r="H206" s="157">
        <v>3.5000000000000003E-2</v>
      </c>
      <c r="I206" s="158">
        <v>23.71</v>
      </c>
      <c r="J206" s="158">
        <v>0.82</v>
      </c>
    </row>
    <row r="207" spans="1:10" ht="39.6" x14ac:dyDescent="0.25">
      <c r="A207" s="155" t="s">
        <v>413</v>
      </c>
      <c r="B207" s="154" t="s">
        <v>611</v>
      </c>
      <c r="C207" s="155" t="s">
        <v>87</v>
      </c>
      <c r="D207" s="155" t="s">
        <v>612</v>
      </c>
      <c r="E207" s="196" t="s">
        <v>506</v>
      </c>
      <c r="F207" s="196"/>
      <c r="G207" s="156" t="s">
        <v>126</v>
      </c>
      <c r="H207" s="157">
        <v>2.8000000000000001E-2</v>
      </c>
      <c r="I207" s="158">
        <v>34.29</v>
      </c>
      <c r="J207" s="158">
        <v>0.96</v>
      </c>
    </row>
    <row r="208" spans="1:10" ht="39.6" x14ac:dyDescent="0.25">
      <c r="A208" s="155" t="s">
        <v>413</v>
      </c>
      <c r="B208" s="154" t="s">
        <v>615</v>
      </c>
      <c r="C208" s="155" t="s">
        <v>87</v>
      </c>
      <c r="D208" s="155" t="s">
        <v>616</v>
      </c>
      <c r="E208" s="196" t="s">
        <v>506</v>
      </c>
      <c r="F208" s="196"/>
      <c r="G208" s="156" t="s">
        <v>509</v>
      </c>
      <c r="H208" s="157">
        <v>2.5999999999999999E-2</v>
      </c>
      <c r="I208" s="158">
        <v>27.86</v>
      </c>
      <c r="J208" s="158">
        <v>0.72</v>
      </c>
    </row>
    <row r="209" spans="1:10" ht="26.4" x14ac:dyDescent="0.25">
      <c r="A209" s="146" t="s">
        <v>386</v>
      </c>
      <c r="B209" s="145" t="s">
        <v>617</v>
      </c>
      <c r="C209" s="146" t="s">
        <v>87</v>
      </c>
      <c r="D209" s="146" t="s">
        <v>618</v>
      </c>
      <c r="E209" s="197" t="s">
        <v>395</v>
      </c>
      <c r="F209" s="197"/>
      <c r="G209" s="147" t="s">
        <v>13</v>
      </c>
      <c r="H209" s="148">
        <v>1.25</v>
      </c>
      <c r="I209" s="149">
        <v>36.51</v>
      </c>
      <c r="J209" s="149">
        <v>45.63</v>
      </c>
    </row>
    <row r="210" spans="1:10" ht="39.6" x14ac:dyDescent="0.25">
      <c r="A210" s="151"/>
      <c r="B210" s="151"/>
      <c r="C210" s="151"/>
      <c r="D210" s="151"/>
      <c r="E210" s="151" t="s">
        <v>405</v>
      </c>
      <c r="F210" s="150">
        <v>3.4</v>
      </c>
      <c r="G210" s="151" t="s">
        <v>406</v>
      </c>
      <c r="H210" s="150">
        <v>0</v>
      </c>
      <c r="I210" s="151" t="s">
        <v>407</v>
      </c>
      <c r="J210" s="150">
        <v>3.4</v>
      </c>
    </row>
    <row r="211" spans="1:10" ht="39.6" x14ac:dyDescent="0.25">
      <c r="A211" s="151"/>
      <c r="B211" s="151"/>
      <c r="C211" s="151"/>
      <c r="D211" s="151"/>
      <c r="E211" s="151" t="s">
        <v>408</v>
      </c>
      <c r="F211" s="150">
        <v>16.917339999999999</v>
      </c>
      <c r="G211" s="151"/>
      <c r="H211" s="195" t="s">
        <v>409</v>
      </c>
      <c r="I211" s="195"/>
      <c r="J211" s="150">
        <v>75.62</v>
      </c>
    </row>
    <row r="212" spans="1:10" ht="14.4" thickBot="1" x14ac:dyDescent="0.3">
      <c r="A212" s="95"/>
      <c r="B212" s="95"/>
      <c r="C212" s="95"/>
      <c r="D212" s="95"/>
      <c r="E212" s="95"/>
      <c r="F212" s="95"/>
      <c r="G212" s="95" t="s">
        <v>410</v>
      </c>
      <c r="H212" s="152">
        <v>2735.85</v>
      </c>
      <c r="I212" s="95" t="s">
        <v>411</v>
      </c>
      <c r="J212" s="96">
        <v>206884.98</v>
      </c>
    </row>
    <row r="213" spans="1:10" ht="14.4" thickTop="1" x14ac:dyDescent="0.25">
      <c r="A213" s="153"/>
      <c r="B213" s="153"/>
      <c r="C213" s="153"/>
      <c r="D213" s="153"/>
      <c r="E213" s="153"/>
      <c r="F213" s="153"/>
      <c r="G213" s="153"/>
      <c r="H213" s="153"/>
      <c r="I213" s="153"/>
      <c r="J213" s="153"/>
    </row>
    <row r="214" spans="1:10" x14ac:dyDescent="0.25">
      <c r="A214" s="100" t="s">
        <v>142</v>
      </c>
      <c r="B214" s="99" t="s">
        <v>82</v>
      </c>
      <c r="C214" s="100" t="s">
        <v>83</v>
      </c>
      <c r="D214" s="100" t="s">
        <v>1</v>
      </c>
      <c r="E214" s="193" t="s">
        <v>97</v>
      </c>
      <c r="F214" s="193"/>
      <c r="G214" s="101" t="s">
        <v>2</v>
      </c>
      <c r="H214" s="99" t="s">
        <v>3</v>
      </c>
      <c r="I214" s="99" t="s">
        <v>84</v>
      </c>
      <c r="J214" s="99" t="s">
        <v>86</v>
      </c>
    </row>
    <row r="215" spans="1:10" ht="26.4" x14ac:dyDescent="0.25">
      <c r="A215" s="143" t="s">
        <v>385</v>
      </c>
      <c r="B215" s="52" t="s">
        <v>191</v>
      </c>
      <c r="C215" s="143" t="s">
        <v>87</v>
      </c>
      <c r="D215" s="143" t="s">
        <v>192</v>
      </c>
      <c r="E215" s="194" t="s">
        <v>619</v>
      </c>
      <c r="F215" s="194"/>
      <c r="G215" s="51" t="s">
        <v>13</v>
      </c>
      <c r="H215" s="144">
        <v>1</v>
      </c>
      <c r="I215" s="53">
        <v>1.36</v>
      </c>
      <c r="J215" s="53">
        <v>1.36</v>
      </c>
    </row>
    <row r="216" spans="1:10" ht="39.6" x14ac:dyDescent="0.25">
      <c r="A216" s="155" t="s">
        <v>413</v>
      </c>
      <c r="B216" s="154" t="s">
        <v>620</v>
      </c>
      <c r="C216" s="155" t="s">
        <v>87</v>
      </c>
      <c r="D216" s="155" t="s">
        <v>621</v>
      </c>
      <c r="E216" s="196" t="s">
        <v>506</v>
      </c>
      <c r="F216" s="196"/>
      <c r="G216" s="156" t="s">
        <v>126</v>
      </c>
      <c r="H216" s="157">
        <v>3.0000000000000001E-3</v>
      </c>
      <c r="I216" s="158">
        <v>233.53</v>
      </c>
      <c r="J216" s="158">
        <v>0.7</v>
      </c>
    </row>
    <row r="217" spans="1:10" ht="39.6" x14ac:dyDescent="0.25">
      <c r="A217" s="155" t="s">
        <v>413</v>
      </c>
      <c r="B217" s="154" t="s">
        <v>622</v>
      </c>
      <c r="C217" s="155" t="s">
        <v>87</v>
      </c>
      <c r="D217" s="155" t="s">
        <v>623</v>
      </c>
      <c r="E217" s="196" t="s">
        <v>506</v>
      </c>
      <c r="F217" s="196"/>
      <c r="G217" s="156" t="s">
        <v>509</v>
      </c>
      <c r="H217" s="157">
        <v>6.0000000000000001E-3</v>
      </c>
      <c r="I217" s="158">
        <v>76.13</v>
      </c>
      <c r="J217" s="158">
        <v>0.45</v>
      </c>
    </row>
    <row r="218" spans="1:10" ht="39.6" x14ac:dyDescent="0.25">
      <c r="A218" s="155" t="s">
        <v>413</v>
      </c>
      <c r="B218" s="154" t="s">
        <v>510</v>
      </c>
      <c r="C218" s="155" t="s">
        <v>87</v>
      </c>
      <c r="D218" s="155" t="s">
        <v>511</v>
      </c>
      <c r="E218" s="196" t="s">
        <v>489</v>
      </c>
      <c r="F218" s="196"/>
      <c r="G218" s="156" t="s">
        <v>490</v>
      </c>
      <c r="H218" s="157">
        <v>8.9999999999999993E-3</v>
      </c>
      <c r="I218" s="158">
        <v>23.71</v>
      </c>
      <c r="J218" s="158">
        <v>0.21</v>
      </c>
    </row>
    <row r="219" spans="1:10" ht="39.6" x14ac:dyDescent="0.25">
      <c r="A219" s="151"/>
      <c r="B219" s="151"/>
      <c r="C219" s="151"/>
      <c r="D219" s="151"/>
      <c r="E219" s="151" t="s">
        <v>405</v>
      </c>
      <c r="F219" s="150">
        <v>0.33</v>
      </c>
      <c r="G219" s="151" t="s">
        <v>406</v>
      </c>
      <c r="H219" s="150">
        <v>0</v>
      </c>
      <c r="I219" s="151" t="s">
        <v>407</v>
      </c>
      <c r="J219" s="150">
        <v>0.33</v>
      </c>
    </row>
    <row r="220" spans="1:10" ht="39.6" x14ac:dyDescent="0.25">
      <c r="A220" s="151"/>
      <c r="B220" s="151"/>
      <c r="C220" s="151"/>
      <c r="D220" s="151"/>
      <c r="E220" s="151" t="s">
        <v>408</v>
      </c>
      <c r="F220" s="150">
        <v>0.39195200000000002</v>
      </c>
      <c r="G220" s="151"/>
      <c r="H220" s="195" t="s">
        <v>409</v>
      </c>
      <c r="I220" s="195"/>
      <c r="J220" s="150">
        <v>1.75</v>
      </c>
    </row>
    <row r="221" spans="1:10" ht="14.4" thickBot="1" x14ac:dyDescent="0.3">
      <c r="A221" s="95"/>
      <c r="B221" s="95"/>
      <c r="C221" s="95"/>
      <c r="D221" s="95"/>
      <c r="E221" s="95"/>
      <c r="F221" s="95"/>
      <c r="G221" s="95" t="s">
        <v>410</v>
      </c>
      <c r="H221" s="152">
        <v>2735.85</v>
      </c>
      <c r="I221" s="95" t="s">
        <v>411</v>
      </c>
      <c r="J221" s="96">
        <v>4787.74</v>
      </c>
    </row>
    <row r="222" spans="1:10" ht="14.4" thickTop="1" x14ac:dyDescent="0.25">
      <c r="A222" s="153"/>
      <c r="B222" s="153"/>
      <c r="C222" s="153"/>
      <c r="D222" s="153"/>
      <c r="E222" s="153"/>
      <c r="F222" s="153"/>
      <c r="G222" s="153"/>
      <c r="H222" s="153"/>
      <c r="I222" s="153"/>
      <c r="J222" s="153"/>
    </row>
    <row r="223" spans="1:10" x14ac:dyDescent="0.25">
      <c r="A223" s="100" t="s">
        <v>143</v>
      </c>
      <c r="B223" s="99" t="s">
        <v>82</v>
      </c>
      <c r="C223" s="100" t="s">
        <v>83</v>
      </c>
      <c r="D223" s="100" t="s">
        <v>1</v>
      </c>
      <c r="E223" s="193" t="s">
        <v>97</v>
      </c>
      <c r="F223" s="193"/>
      <c r="G223" s="101" t="s">
        <v>2</v>
      </c>
      <c r="H223" s="99" t="s">
        <v>3</v>
      </c>
      <c r="I223" s="99" t="s">
        <v>84</v>
      </c>
      <c r="J223" s="99" t="s">
        <v>86</v>
      </c>
    </row>
    <row r="224" spans="1:10" ht="26.4" x14ac:dyDescent="0.25">
      <c r="A224" s="143" t="s">
        <v>385</v>
      </c>
      <c r="B224" s="52" t="s">
        <v>193</v>
      </c>
      <c r="C224" s="143" t="s">
        <v>87</v>
      </c>
      <c r="D224" s="143" t="s">
        <v>194</v>
      </c>
      <c r="E224" s="194" t="s">
        <v>483</v>
      </c>
      <c r="F224" s="194"/>
      <c r="G224" s="51" t="s">
        <v>13</v>
      </c>
      <c r="H224" s="144">
        <v>1</v>
      </c>
      <c r="I224" s="53">
        <v>5.23</v>
      </c>
      <c r="J224" s="53">
        <v>5.23</v>
      </c>
    </row>
    <row r="225" spans="1:10" ht="52.8" x14ac:dyDescent="0.25">
      <c r="A225" s="155" t="s">
        <v>413</v>
      </c>
      <c r="B225" s="154" t="s">
        <v>624</v>
      </c>
      <c r="C225" s="155" t="s">
        <v>87</v>
      </c>
      <c r="D225" s="155" t="s">
        <v>625</v>
      </c>
      <c r="E225" s="196" t="s">
        <v>506</v>
      </c>
      <c r="F225" s="196"/>
      <c r="G225" s="156" t="s">
        <v>126</v>
      </c>
      <c r="H225" s="157">
        <v>4.3477999999999998E-3</v>
      </c>
      <c r="I225" s="158">
        <v>160.04</v>
      </c>
      <c r="J225" s="158">
        <v>0.69</v>
      </c>
    </row>
    <row r="226" spans="1:10" ht="52.8" x14ac:dyDescent="0.25">
      <c r="A226" s="155" t="s">
        <v>413</v>
      </c>
      <c r="B226" s="154" t="s">
        <v>609</v>
      </c>
      <c r="C226" s="155" t="s">
        <v>87</v>
      </c>
      <c r="D226" s="155" t="s">
        <v>610</v>
      </c>
      <c r="E226" s="196" t="s">
        <v>506</v>
      </c>
      <c r="F226" s="196"/>
      <c r="G226" s="156" t="s">
        <v>126</v>
      </c>
      <c r="H226" s="157">
        <v>9.6521999999999997E-3</v>
      </c>
      <c r="I226" s="158">
        <v>302.35000000000002</v>
      </c>
      <c r="J226" s="158">
        <v>2.91</v>
      </c>
    </row>
    <row r="227" spans="1:10" ht="39.6" x14ac:dyDescent="0.25">
      <c r="A227" s="155" t="s">
        <v>413</v>
      </c>
      <c r="B227" s="154" t="s">
        <v>626</v>
      </c>
      <c r="C227" s="155" t="s">
        <v>87</v>
      </c>
      <c r="D227" s="155" t="s">
        <v>627</v>
      </c>
      <c r="E227" s="196" t="s">
        <v>506</v>
      </c>
      <c r="F227" s="196"/>
      <c r="G227" s="156" t="s">
        <v>126</v>
      </c>
      <c r="H227" s="157">
        <v>1.5652000000000001E-3</v>
      </c>
      <c r="I227" s="158">
        <v>241.66</v>
      </c>
      <c r="J227" s="158">
        <v>0.37</v>
      </c>
    </row>
    <row r="228" spans="1:10" ht="39.6" x14ac:dyDescent="0.25">
      <c r="A228" s="155" t="s">
        <v>413</v>
      </c>
      <c r="B228" s="154" t="s">
        <v>628</v>
      </c>
      <c r="C228" s="155" t="s">
        <v>87</v>
      </c>
      <c r="D228" s="155" t="s">
        <v>629</v>
      </c>
      <c r="E228" s="196" t="s">
        <v>506</v>
      </c>
      <c r="F228" s="196"/>
      <c r="G228" s="156" t="s">
        <v>126</v>
      </c>
      <c r="H228" s="157">
        <v>2.1738999999999999E-3</v>
      </c>
      <c r="I228" s="158">
        <v>172.42</v>
      </c>
      <c r="J228" s="158">
        <v>0.37</v>
      </c>
    </row>
    <row r="229" spans="1:10" ht="52.8" x14ac:dyDescent="0.25">
      <c r="A229" s="155" t="s">
        <v>413</v>
      </c>
      <c r="B229" s="154" t="s">
        <v>613</v>
      </c>
      <c r="C229" s="155" t="s">
        <v>87</v>
      </c>
      <c r="D229" s="155" t="s">
        <v>614</v>
      </c>
      <c r="E229" s="196" t="s">
        <v>506</v>
      </c>
      <c r="F229" s="196"/>
      <c r="G229" s="156" t="s">
        <v>509</v>
      </c>
      <c r="H229" s="157">
        <v>3.3912999999999999E-3</v>
      </c>
      <c r="I229" s="158">
        <v>67.88</v>
      </c>
      <c r="J229" s="158">
        <v>0.23</v>
      </c>
    </row>
    <row r="230" spans="1:10" ht="39.6" x14ac:dyDescent="0.25">
      <c r="A230" s="155" t="s">
        <v>413</v>
      </c>
      <c r="B230" s="154" t="s">
        <v>630</v>
      </c>
      <c r="C230" s="155" t="s">
        <v>87</v>
      </c>
      <c r="D230" s="155" t="s">
        <v>631</v>
      </c>
      <c r="E230" s="196" t="s">
        <v>506</v>
      </c>
      <c r="F230" s="196"/>
      <c r="G230" s="156" t="s">
        <v>509</v>
      </c>
      <c r="H230" s="157">
        <v>2.7826000000000001E-3</v>
      </c>
      <c r="I230" s="158">
        <v>88.92</v>
      </c>
      <c r="J230" s="158">
        <v>0.24</v>
      </c>
    </row>
    <row r="231" spans="1:10" ht="39.6" x14ac:dyDescent="0.25">
      <c r="A231" s="155" t="s">
        <v>413</v>
      </c>
      <c r="B231" s="154" t="s">
        <v>632</v>
      </c>
      <c r="C231" s="155" t="s">
        <v>87</v>
      </c>
      <c r="D231" s="155" t="s">
        <v>633</v>
      </c>
      <c r="E231" s="196" t="s">
        <v>506</v>
      </c>
      <c r="F231" s="196"/>
      <c r="G231" s="156" t="s">
        <v>509</v>
      </c>
      <c r="H231" s="157">
        <v>2.1738999999999999E-3</v>
      </c>
      <c r="I231" s="158">
        <v>55.67</v>
      </c>
      <c r="J231" s="158">
        <v>0.12</v>
      </c>
    </row>
    <row r="232" spans="1:10" ht="39.6" x14ac:dyDescent="0.25">
      <c r="A232" s="155" t="s">
        <v>413</v>
      </c>
      <c r="B232" s="154" t="s">
        <v>510</v>
      </c>
      <c r="C232" s="155" t="s">
        <v>87</v>
      </c>
      <c r="D232" s="155" t="s">
        <v>511</v>
      </c>
      <c r="E232" s="196" t="s">
        <v>489</v>
      </c>
      <c r="F232" s="196"/>
      <c r="G232" s="156" t="s">
        <v>490</v>
      </c>
      <c r="H232" s="157">
        <v>1.30435E-2</v>
      </c>
      <c r="I232" s="158">
        <v>23.71</v>
      </c>
      <c r="J232" s="158">
        <v>0.3</v>
      </c>
    </row>
    <row r="233" spans="1:10" ht="39.6" x14ac:dyDescent="0.25">
      <c r="A233" s="151"/>
      <c r="B233" s="151"/>
      <c r="C233" s="151"/>
      <c r="D233" s="151"/>
      <c r="E233" s="151" t="s">
        <v>405</v>
      </c>
      <c r="F233" s="150">
        <v>0.73</v>
      </c>
      <c r="G233" s="151" t="s">
        <v>406</v>
      </c>
      <c r="H233" s="150">
        <v>0</v>
      </c>
      <c r="I233" s="151" t="s">
        <v>407</v>
      </c>
      <c r="J233" s="150">
        <v>0.73</v>
      </c>
    </row>
    <row r="234" spans="1:10" ht="39.6" x14ac:dyDescent="0.25">
      <c r="A234" s="151"/>
      <c r="B234" s="151"/>
      <c r="C234" s="151"/>
      <c r="D234" s="151"/>
      <c r="E234" s="151" t="s">
        <v>408</v>
      </c>
      <c r="F234" s="150">
        <v>1.5072859999999999</v>
      </c>
      <c r="G234" s="151"/>
      <c r="H234" s="195" t="s">
        <v>409</v>
      </c>
      <c r="I234" s="195"/>
      <c r="J234" s="150">
        <v>6.74</v>
      </c>
    </row>
    <row r="235" spans="1:10" ht="14.4" thickBot="1" x14ac:dyDescent="0.3">
      <c r="A235" s="95"/>
      <c r="B235" s="95"/>
      <c r="C235" s="95"/>
      <c r="D235" s="95"/>
      <c r="E235" s="95"/>
      <c r="F235" s="95"/>
      <c r="G235" s="95" t="s">
        <v>410</v>
      </c>
      <c r="H235" s="152">
        <v>2735.85</v>
      </c>
      <c r="I235" s="95" t="s">
        <v>411</v>
      </c>
      <c r="J235" s="96">
        <v>18439.63</v>
      </c>
    </row>
    <row r="236" spans="1:10" ht="14.4" thickTop="1" x14ac:dyDescent="0.25">
      <c r="A236" s="153"/>
      <c r="B236" s="153"/>
      <c r="C236" s="153"/>
      <c r="D236" s="153"/>
      <c r="E236" s="153"/>
      <c r="F236" s="153"/>
      <c r="G236" s="153"/>
      <c r="H236" s="153"/>
      <c r="I236" s="153"/>
      <c r="J236" s="153"/>
    </row>
    <row r="237" spans="1:10" x14ac:dyDescent="0.25">
      <c r="A237" s="100" t="s">
        <v>144</v>
      </c>
      <c r="B237" s="99" t="s">
        <v>82</v>
      </c>
      <c r="C237" s="100" t="s">
        <v>83</v>
      </c>
      <c r="D237" s="100" t="s">
        <v>1</v>
      </c>
      <c r="E237" s="193" t="s">
        <v>97</v>
      </c>
      <c r="F237" s="193"/>
      <c r="G237" s="101" t="s">
        <v>2</v>
      </c>
      <c r="H237" s="99" t="s">
        <v>3</v>
      </c>
      <c r="I237" s="99" t="s">
        <v>84</v>
      </c>
      <c r="J237" s="99" t="s">
        <v>86</v>
      </c>
    </row>
    <row r="238" spans="1:10" ht="39.6" x14ac:dyDescent="0.25">
      <c r="A238" s="143" t="s">
        <v>385</v>
      </c>
      <c r="B238" s="52" t="s">
        <v>159</v>
      </c>
      <c r="C238" s="143" t="s">
        <v>87</v>
      </c>
      <c r="D238" s="143" t="s">
        <v>160</v>
      </c>
      <c r="E238" s="194" t="s">
        <v>483</v>
      </c>
      <c r="F238" s="194"/>
      <c r="G238" s="51" t="s">
        <v>13</v>
      </c>
      <c r="H238" s="144">
        <v>1</v>
      </c>
      <c r="I238" s="53">
        <v>2.15</v>
      </c>
      <c r="J238" s="53">
        <v>2.15</v>
      </c>
    </row>
    <row r="239" spans="1:10" ht="39.6" x14ac:dyDescent="0.25">
      <c r="A239" s="155" t="s">
        <v>413</v>
      </c>
      <c r="B239" s="154" t="s">
        <v>514</v>
      </c>
      <c r="C239" s="155" t="s">
        <v>87</v>
      </c>
      <c r="D239" s="155" t="s">
        <v>515</v>
      </c>
      <c r="E239" s="196" t="s">
        <v>506</v>
      </c>
      <c r="F239" s="196"/>
      <c r="G239" s="156" t="s">
        <v>126</v>
      </c>
      <c r="H239" s="157">
        <v>3.0000000000000001E-3</v>
      </c>
      <c r="I239" s="158">
        <v>192.34</v>
      </c>
      <c r="J239" s="158">
        <v>0.56999999999999995</v>
      </c>
    </row>
    <row r="240" spans="1:10" ht="39.6" x14ac:dyDescent="0.25">
      <c r="A240" s="155" t="s">
        <v>413</v>
      </c>
      <c r="B240" s="154" t="s">
        <v>516</v>
      </c>
      <c r="C240" s="155" t="s">
        <v>87</v>
      </c>
      <c r="D240" s="155" t="s">
        <v>517</v>
      </c>
      <c r="E240" s="196" t="s">
        <v>506</v>
      </c>
      <c r="F240" s="196"/>
      <c r="G240" s="156" t="s">
        <v>126</v>
      </c>
      <c r="H240" s="157">
        <v>8.0000000000000002E-3</v>
      </c>
      <c r="I240" s="158">
        <v>175.9</v>
      </c>
      <c r="J240" s="158">
        <v>1.4</v>
      </c>
    </row>
    <row r="241" spans="1:10" ht="39.6" x14ac:dyDescent="0.25">
      <c r="A241" s="155" t="s">
        <v>413</v>
      </c>
      <c r="B241" s="154" t="s">
        <v>510</v>
      </c>
      <c r="C241" s="155" t="s">
        <v>87</v>
      </c>
      <c r="D241" s="155" t="s">
        <v>511</v>
      </c>
      <c r="E241" s="196" t="s">
        <v>489</v>
      </c>
      <c r="F241" s="196"/>
      <c r="G241" s="156" t="s">
        <v>490</v>
      </c>
      <c r="H241" s="157">
        <v>8.0000000000000002E-3</v>
      </c>
      <c r="I241" s="158">
        <v>23.71</v>
      </c>
      <c r="J241" s="158">
        <v>0.18</v>
      </c>
    </row>
    <row r="242" spans="1:10" ht="39.6" x14ac:dyDescent="0.25">
      <c r="A242" s="151"/>
      <c r="B242" s="151"/>
      <c r="C242" s="151"/>
      <c r="D242" s="151"/>
      <c r="E242" s="151" t="s">
        <v>405</v>
      </c>
      <c r="F242" s="150">
        <v>0.33</v>
      </c>
      <c r="G242" s="151" t="s">
        <v>406</v>
      </c>
      <c r="H242" s="150">
        <v>0</v>
      </c>
      <c r="I242" s="151" t="s">
        <v>407</v>
      </c>
      <c r="J242" s="150">
        <v>0.33</v>
      </c>
    </row>
    <row r="243" spans="1:10" ht="39.6" x14ac:dyDescent="0.25">
      <c r="A243" s="151"/>
      <c r="B243" s="151"/>
      <c r="C243" s="151"/>
      <c r="D243" s="151"/>
      <c r="E243" s="151" t="s">
        <v>408</v>
      </c>
      <c r="F243" s="150">
        <v>0.61963000000000001</v>
      </c>
      <c r="G243" s="151"/>
      <c r="H243" s="195" t="s">
        <v>409</v>
      </c>
      <c r="I243" s="195"/>
      <c r="J243" s="150">
        <v>2.77</v>
      </c>
    </row>
    <row r="244" spans="1:10" ht="14.4" thickBot="1" x14ac:dyDescent="0.3">
      <c r="A244" s="95"/>
      <c r="B244" s="95"/>
      <c r="C244" s="95"/>
      <c r="D244" s="95"/>
      <c r="E244" s="95"/>
      <c r="F244" s="95"/>
      <c r="G244" s="95" t="s">
        <v>410</v>
      </c>
      <c r="H244" s="152">
        <v>357.66</v>
      </c>
      <c r="I244" s="95" t="s">
        <v>411</v>
      </c>
      <c r="J244" s="96">
        <v>990.72</v>
      </c>
    </row>
    <row r="245" spans="1:10" ht="14.4" thickTop="1" x14ac:dyDescent="0.25">
      <c r="A245" s="153"/>
      <c r="B245" s="153"/>
      <c r="C245" s="153"/>
      <c r="D245" s="153"/>
      <c r="E245" s="153"/>
      <c r="F245" s="153"/>
      <c r="G245" s="153"/>
      <c r="H245" s="153"/>
      <c r="I245" s="153"/>
      <c r="J245" s="153"/>
    </row>
    <row r="246" spans="1:10" x14ac:dyDescent="0.25">
      <c r="A246" s="100" t="s">
        <v>145</v>
      </c>
      <c r="B246" s="99" t="s">
        <v>82</v>
      </c>
      <c r="C246" s="100" t="s">
        <v>83</v>
      </c>
      <c r="D246" s="100" t="s">
        <v>1</v>
      </c>
      <c r="E246" s="193" t="s">
        <v>97</v>
      </c>
      <c r="F246" s="193"/>
      <c r="G246" s="101" t="s">
        <v>2</v>
      </c>
      <c r="H246" s="99" t="s">
        <v>3</v>
      </c>
      <c r="I246" s="99" t="s">
        <v>84</v>
      </c>
      <c r="J246" s="99" t="s">
        <v>86</v>
      </c>
    </row>
    <row r="247" spans="1:10" ht="26.4" x14ac:dyDescent="0.25">
      <c r="A247" s="143" t="s">
        <v>385</v>
      </c>
      <c r="B247" s="52" t="s">
        <v>161</v>
      </c>
      <c r="C247" s="143" t="s">
        <v>87</v>
      </c>
      <c r="D247" s="143" t="s">
        <v>162</v>
      </c>
      <c r="E247" s="194" t="s">
        <v>518</v>
      </c>
      <c r="F247" s="194"/>
      <c r="G247" s="51" t="s">
        <v>163</v>
      </c>
      <c r="H247" s="144">
        <v>1</v>
      </c>
      <c r="I247" s="53">
        <v>2.79</v>
      </c>
      <c r="J247" s="53">
        <v>2.79</v>
      </c>
    </row>
    <row r="248" spans="1:10" ht="52.8" x14ac:dyDescent="0.25">
      <c r="A248" s="155" t="s">
        <v>413</v>
      </c>
      <c r="B248" s="154" t="s">
        <v>519</v>
      </c>
      <c r="C248" s="155" t="s">
        <v>87</v>
      </c>
      <c r="D248" s="155" t="s">
        <v>520</v>
      </c>
      <c r="E248" s="196" t="s">
        <v>506</v>
      </c>
      <c r="F248" s="196"/>
      <c r="G248" s="156" t="s">
        <v>126</v>
      </c>
      <c r="H248" s="157">
        <v>1.3899999999999999E-2</v>
      </c>
      <c r="I248" s="158">
        <v>176.31</v>
      </c>
      <c r="J248" s="158">
        <v>2.4500000000000002</v>
      </c>
    </row>
    <row r="249" spans="1:10" ht="52.8" x14ac:dyDescent="0.25">
      <c r="A249" s="155" t="s">
        <v>413</v>
      </c>
      <c r="B249" s="154" t="s">
        <v>521</v>
      </c>
      <c r="C249" s="155" t="s">
        <v>87</v>
      </c>
      <c r="D249" s="155" t="s">
        <v>522</v>
      </c>
      <c r="E249" s="196" t="s">
        <v>506</v>
      </c>
      <c r="F249" s="196"/>
      <c r="G249" s="156" t="s">
        <v>509</v>
      </c>
      <c r="H249" s="157">
        <v>6.0000000000000001E-3</v>
      </c>
      <c r="I249" s="158">
        <v>57.32</v>
      </c>
      <c r="J249" s="158">
        <v>0.34</v>
      </c>
    </row>
    <row r="250" spans="1:10" ht="39.6" x14ac:dyDescent="0.25">
      <c r="A250" s="151"/>
      <c r="B250" s="151"/>
      <c r="C250" s="151"/>
      <c r="D250" s="151"/>
      <c r="E250" s="151" t="s">
        <v>405</v>
      </c>
      <c r="F250" s="150">
        <v>0.37</v>
      </c>
      <c r="G250" s="151" t="s">
        <v>406</v>
      </c>
      <c r="H250" s="150">
        <v>0</v>
      </c>
      <c r="I250" s="151" t="s">
        <v>407</v>
      </c>
      <c r="J250" s="150">
        <v>0.37</v>
      </c>
    </row>
    <row r="251" spans="1:10" ht="39.6" x14ac:dyDescent="0.25">
      <c r="A251" s="151"/>
      <c r="B251" s="151"/>
      <c r="C251" s="151"/>
      <c r="D251" s="151"/>
      <c r="E251" s="151" t="s">
        <v>408</v>
      </c>
      <c r="F251" s="150">
        <v>0.80407799999999996</v>
      </c>
      <c r="G251" s="151"/>
      <c r="H251" s="195" t="s">
        <v>409</v>
      </c>
      <c r="I251" s="195"/>
      <c r="J251" s="150">
        <v>3.59</v>
      </c>
    </row>
    <row r="252" spans="1:10" ht="14.4" thickBot="1" x14ac:dyDescent="0.3">
      <c r="A252" s="95"/>
      <c r="B252" s="95"/>
      <c r="C252" s="95"/>
      <c r="D252" s="95"/>
      <c r="E252" s="95"/>
      <c r="F252" s="95"/>
      <c r="G252" s="95" t="s">
        <v>410</v>
      </c>
      <c r="H252" s="152">
        <v>715.31</v>
      </c>
      <c r="I252" s="95" t="s">
        <v>411</v>
      </c>
      <c r="J252" s="96">
        <v>2567.96</v>
      </c>
    </row>
    <row r="253" spans="1:10" ht="14.4" thickTop="1" x14ac:dyDescent="0.25">
      <c r="A253" s="153"/>
      <c r="B253" s="153"/>
      <c r="C253" s="153"/>
      <c r="D253" s="153"/>
      <c r="E253" s="153"/>
      <c r="F253" s="153"/>
      <c r="G253" s="153"/>
      <c r="H253" s="153"/>
      <c r="I253" s="153"/>
      <c r="J253" s="153"/>
    </row>
    <row r="254" spans="1:10" x14ac:dyDescent="0.25">
      <c r="A254" s="142" t="s">
        <v>14</v>
      </c>
      <c r="B254" s="142"/>
      <c r="C254" s="142"/>
      <c r="D254" s="142" t="s">
        <v>195</v>
      </c>
      <c r="E254" s="142"/>
      <c r="F254" s="198"/>
      <c r="G254" s="198"/>
      <c r="H254" s="73"/>
      <c r="I254" s="142"/>
      <c r="J254" s="74">
        <v>166441.31</v>
      </c>
    </row>
    <row r="255" spans="1:10" x14ac:dyDescent="0.25">
      <c r="A255" s="142" t="s">
        <v>15</v>
      </c>
      <c r="B255" s="142"/>
      <c r="C255" s="142"/>
      <c r="D255" s="142" t="s">
        <v>196</v>
      </c>
      <c r="E255" s="142"/>
      <c r="F255" s="198"/>
      <c r="G255" s="198"/>
      <c r="H255" s="73"/>
      <c r="I255" s="142"/>
      <c r="J255" s="74">
        <v>8483.8799999999992</v>
      </c>
    </row>
    <row r="256" spans="1:10" x14ac:dyDescent="0.25">
      <c r="A256" s="100" t="s">
        <v>119</v>
      </c>
      <c r="B256" s="99" t="s">
        <v>82</v>
      </c>
      <c r="C256" s="100" t="s">
        <v>83</v>
      </c>
      <c r="D256" s="100" t="s">
        <v>1</v>
      </c>
      <c r="E256" s="193" t="s">
        <v>97</v>
      </c>
      <c r="F256" s="193"/>
      <c r="G256" s="101" t="s">
        <v>2</v>
      </c>
      <c r="H256" s="99" t="s">
        <v>3</v>
      </c>
      <c r="I256" s="99" t="s">
        <v>84</v>
      </c>
      <c r="J256" s="99" t="s">
        <v>86</v>
      </c>
    </row>
    <row r="257" spans="1:10" ht="39.6" x14ac:dyDescent="0.25">
      <c r="A257" s="143" t="s">
        <v>385</v>
      </c>
      <c r="B257" s="52" t="s">
        <v>197</v>
      </c>
      <c r="C257" s="143" t="s">
        <v>87</v>
      </c>
      <c r="D257" s="143" t="s">
        <v>198</v>
      </c>
      <c r="E257" s="194" t="s">
        <v>619</v>
      </c>
      <c r="F257" s="194"/>
      <c r="G257" s="51" t="s">
        <v>13</v>
      </c>
      <c r="H257" s="144">
        <v>1</v>
      </c>
      <c r="I257" s="53">
        <v>86.61</v>
      </c>
      <c r="J257" s="53">
        <v>86.61</v>
      </c>
    </row>
    <row r="258" spans="1:10" ht="39.6" x14ac:dyDescent="0.25">
      <c r="A258" s="155" t="s">
        <v>413</v>
      </c>
      <c r="B258" s="154" t="s">
        <v>605</v>
      </c>
      <c r="C258" s="155" t="s">
        <v>87</v>
      </c>
      <c r="D258" s="155" t="s">
        <v>606</v>
      </c>
      <c r="E258" s="196" t="s">
        <v>506</v>
      </c>
      <c r="F258" s="196"/>
      <c r="G258" s="156" t="s">
        <v>126</v>
      </c>
      <c r="H258" s="157">
        <v>1.4999999999999999E-2</v>
      </c>
      <c r="I258" s="158">
        <v>199.87</v>
      </c>
      <c r="J258" s="158">
        <v>2.99</v>
      </c>
    </row>
    <row r="259" spans="1:10" ht="39.6" x14ac:dyDescent="0.25">
      <c r="A259" s="155" t="s">
        <v>413</v>
      </c>
      <c r="B259" s="154" t="s">
        <v>607</v>
      </c>
      <c r="C259" s="155" t="s">
        <v>87</v>
      </c>
      <c r="D259" s="155" t="s">
        <v>608</v>
      </c>
      <c r="E259" s="196" t="s">
        <v>506</v>
      </c>
      <c r="F259" s="196"/>
      <c r="G259" s="156" t="s">
        <v>509</v>
      </c>
      <c r="H259" s="157">
        <v>3.5999999999999997E-2</v>
      </c>
      <c r="I259" s="158">
        <v>82.68</v>
      </c>
      <c r="J259" s="158">
        <v>2.97</v>
      </c>
    </row>
    <row r="260" spans="1:10" ht="52.8" x14ac:dyDescent="0.25">
      <c r="A260" s="155" t="s">
        <v>413</v>
      </c>
      <c r="B260" s="154" t="s">
        <v>624</v>
      </c>
      <c r="C260" s="155" t="s">
        <v>87</v>
      </c>
      <c r="D260" s="155" t="s">
        <v>625</v>
      </c>
      <c r="E260" s="196" t="s">
        <v>506</v>
      </c>
      <c r="F260" s="196"/>
      <c r="G260" s="156" t="s">
        <v>126</v>
      </c>
      <c r="H260" s="157">
        <v>3.0000000000000001E-3</v>
      </c>
      <c r="I260" s="158">
        <v>160.04</v>
      </c>
      <c r="J260" s="158">
        <v>0.48</v>
      </c>
    </row>
    <row r="261" spans="1:10" ht="52.8" x14ac:dyDescent="0.25">
      <c r="A261" s="155" t="s">
        <v>413</v>
      </c>
      <c r="B261" s="154" t="s">
        <v>636</v>
      </c>
      <c r="C261" s="155" t="s">
        <v>87</v>
      </c>
      <c r="D261" s="155" t="s">
        <v>637</v>
      </c>
      <c r="E261" s="196" t="s">
        <v>506</v>
      </c>
      <c r="F261" s="196"/>
      <c r="G261" s="156" t="s">
        <v>509</v>
      </c>
      <c r="H261" s="157">
        <v>4.8000000000000001E-2</v>
      </c>
      <c r="I261" s="158">
        <v>63.9</v>
      </c>
      <c r="J261" s="158">
        <v>3.06</v>
      </c>
    </row>
    <row r="262" spans="1:10" ht="39.6" x14ac:dyDescent="0.25">
      <c r="A262" s="155" t="s">
        <v>413</v>
      </c>
      <c r="B262" s="154" t="s">
        <v>634</v>
      </c>
      <c r="C262" s="155" t="s">
        <v>87</v>
      </c>
      <c r="D262" s="155" t="s">
        <v>635</v>
      </c>
      <c r="E262" s="196" t="s">
        <v>506</v>
      </c>
      <c r="F262" s="196"/>
      <c r="G262" s="156" t="s">
        <v>126</v>
      </c>
      <c r="H262" s="157">
        <v>4.0000000000000001E-3</v>
      </c>
      <c r="I262" s="158">
        <v>213.61</v>
      </c>
      <c r="J262" s="158">
        <v>0.85</v>
      </c>
    </row>
    <row r="263" spans="1:10" ht="39.6" x14ac:dyDescent="0.25">
      <c r="A263" s="155" t="s">
        <v>413</v>
      </c>
      <c r="B263" s="154" t="s">
        <v>510</v>
      </c>
      <c r="C263" s="155" t="s">
        <v>87</v>
      </c>
      <c r="D263" s="155" t="s">
        <v>511</v>
      </c>
      <c r="E263" s="196" t="s">
        <v>489</v>
      </c>
      <c r="F263" s="196"/>
      <c r="G263" s="156" t="s">
        <v>490</v>
      </c>
      <c r="H263" s="157">
        <v>5.0999999999999997E-2</v>
      </c>
      <c r="I263" s="158">
        <v>23.71</v>
      </c>
      <c r="J263" s="158">
        <v>1.2</v>
      </c>
    </row>
    <row r="264" spans="1:10" ht="39.6" x14ac:dyDescent="0.25">
      <c r="A264" s="155" t="s">
        <v>413</v>
      </c>
      <c r="B264" s="154" t="s">
        <v>638</v>
      </c>
      <c r="C264" s="155" t="s">
        <v>87</v>
      </c>
      <c r="D264" s="155" t="s">
        <v>639</v>
      </c>
      <c r="E264" s="196" t="s">
        <v>506</v>
      </c>
      <c r="F264" s="196"/>
      <c r="G264" s="156" t="s">
        <v>509</v>
      </c>
      <c r="H264" s="157">
        <v>4.7E-2</v>
      </c>
      <c r="I264" s="158">
        <v>65.44</v>
      </c>
      <c r="J264" s="158">
        <v>3.07</v>
      </c>
    </row>
    <row r="265" spans="1:10" ht="26.4" x14ac:dyDescent="0.25">
      <c r="A265" s="146" t="s">
        <v>386</v>
      </c>
      <c r="B265" s="145" t="s">
        <v>640</v>
      </c>
      <c r="C265" s="146" t="s">
        <v>87</v>
      </c>
      <c r="D265" s="146" t="s">
        <v>641</v>
      </c>
      <c r="E265" s="197" t="s">
        <v>395</v>
      </c>
      <c r="F265" s="197"/>
      <c r="G265" s="147" t="s">
        <v>13</v>
      </c>
      <c r="H265" s="148">
        <v>1.1000000000000001</v>
      </c>
      <c r="I265" s="149">
        <v>65.45</v>
      </c>
      <c r="J265" s="149">
        <v>71.989999999999995</v>
      </c>
    </row>
    <row r="266" spans="1:10" ht="39.6" x14ac:dyDescent="0.25">
      <c r="A266" s="151"/>
      <c r="B266" s="151"/>
      <c r="C266" s="151"/>
      <c r="D266" s="151"/>
      <c r="E266" s="151" t="s">
        <v>405</v>
      </c>
      <c r="F266" s="150">
        <v>4.09</v>
      </c>
      <c r="G266" s="151" t="s">
        <v>406</v>
      </c>
      <c r="H266" s="150">
        <v>0</v>
      </c>
      <c r="I266" s="151" t="s">
        <v>407</v>
      </c>
      <c r="J266" s="150">
        <v>4.09</v>
      </c>
    </row>
    <row r="267" spans="1:10" ht="39.6" x14ac:dyDescent="0.25">
      <c r="A267" s="151"/>
      <c r="B267" s="151"/>
      <c r="C267" s="151"/>
      <c r="D267" s="151"/>
      <c r="E267" s="151" t="s">
        <v>408</v>
      </c>
      <c r="F267" s="150">
        <v>24.961002000000001</v>
      </c>
      <c r="G267" s="151"/>
      <c r="H267" s="195" t="s">
        <v>409</v>
      </c>
      <c r="I267" s="195"/>
      <c r="J267" s="150">
        <v>111.57</v>
      </c>
    </row>
    <row r="268" spans="1:10" ht="14.4" thickBot="1" x14ac:dyDescent="0.3">
      <c r="A268" s="95"/>
      <c r="B268" s="95"/>
      <c r="C268" s="95"/>
      <c r="D268" s="95"/>
      <c r="E268" s="95"/>
      <c r="F268" s="95"/>
      <c r="G268" s="95" t="s">
        <v>410</v>
      </c>
      <c r="H268" s="152">
        <v>65.209999999999994</v>
      </c>
      <c r="I268" s="95" t="s">
        <v>411</v>
      </c>
      <c r="J268" s="96">
        <v>7275.48</v>
      </c>
    </row>
    <row r="269" spans="1:10" ht="14.4" thickTop="1" x14ac:dyDescent="0.25">
      <c r="A269" s="153"/>
      <c r="B269" s="153"/>
      <c r="C269" s="153"/>
      <c r="D269" s="153"/>
      <c r="E269" s="153"/>
      <c r="F269" s="153"/>
      <c r="G269" s="153"/>
      <c r="H269" s="153"/>
      <c r="I269" s="153"/>
      <c r="J269" s="153"/>
    </row>
    <row r="270" spans="1:10" x14ac:dyDescent="0.25">
      <c r="A270" s="100" t="s">
        <v>120</v>
      </c>
      <c r="B270" s="99" t="s">
        <v>82</v>
      </c>
      <c r="C270" s="100" t="s">
        <v>83</v>
      </c>
      <c r="D270" s="100" t="s">
        <v>1</v>
      </c>
      <c r="E270" s="193" t="s">
        <v>97</v>
      </c>
      <c r="F270" s="193"/>
      <c r="G270" s="101" t="s">
        <v>2</v>
      </c>
      <c r="H270" s="99" t="s">
        <v>3</v>
      </c>
      <c r="I270" s="99" t="s">
        <v>84</v>
      </c>
      <c r="J270" s="99" t="s">
        <v>86</v>
      </c>
    </row>
    <row r="271" spans="1:10" ht="39.6" x14ac:dyDescent="0.25">
      <c r="A271" s="143" t="s">
        <v>385</v>
      </c>
      <c r="B271" s="52" t="s">
        <v>199</v>
      </c>
      <c r="C271" s="143" t="s">
        <v>87</v>
      </c>
      <c r="D271" s="143" t="s">
        <v>200</v>
      </c>
      <c r="E271" s="194" t="s">
        <v>442</v>
      </c>
      <c r="F271" s="194"/>
      <c r="G271" s="51" t="s">
        <v>13</v>
      </c>
      <c r="H271" s="144">
        <v>1</v>
      </c>
      <c r="I271" s="53">
        <v>115.52</v>
      </c>
      <c r="J271" s="53">
        <v>115.52</v>
      </c>
    </row>
    <row r="272" spans="1:10" ht="39.6" x14ac:dyDescent="0.25">
      <c r="A272" s="155" t="s">
        <v>413</v>
      </c>
      <c r="B272" s="154" t="s">
        <v>646</v>
      </c>
      <c r="C272" s="155" t="s">
        <v>87</v>
      </c>
      <c r="D272" s="155" t="s">
        <v>647</v>
      </c>
      <c r="E272" s="196" t="s">
        <v>489</v>
      </c>
      <c r="F272" s="196"/>
      <c r="G272" s="156" t="s">
        <v>490</v>
      </c>
      <c r="H272" s="157">
        <v>1.03</v>
      </c>
      <c r="I272" s="158">
        <v>27.39</v>
      </c>
      <c r="J272" s="158">
        <v>28.21</v>
      </c>
    </row>
    <row r="273" spans="1:10" ht="39.6" x14ac:dyDescent="0.25">
      <c r="A273" s="155" t="s">
        <v>413</v>
      </c>
      <c r="B273" s="154" t="s">
        <v>510</v>
      </c>
      <c r="C273" s="155" t="s">
        <v>87</v>
      </c>
      <c r="D273" s="155" t="s">
        <v>511</v>
      </c>
      <c r="E273" s="196" t="s">
        <v>489</v>
      </c>
      <c r="F273" s="196"/>
      <c r="G273" s="156" t="s">
        <v>490</v>
      </c>
      <c r="H273" s="157">
        <v>0.34300000000000003</v>
      </c>
      <c r="I273" s="158">
        <v>23.71</v>
      </c>
      <c r="J273" s="158">
        <v>8.1300000000000008</v>
      </c>
    </row>
    <row r="274" spans="1:10" ht="39.6" x14ac:dyDescent="0.25">
      <c r="A274" s="155" t="s">
        <v>413</v>
      </c>
      <c r="B274" s="154" t="s">
        <v>644</v>
      </c>
      <c r="C274" s="155" t="s">
        <v>87</v>
      </c>
      <c r="D274" s="155" t="s">
        <v>645</v>
      </c>
      <c r="E274" s="196" t="s">
        <v>506</v>
      </c>
      <c r="F274" s="196"/>
      <c r="G274" s="156" t="s">
        <v>126</v>
      </c>
      <c r="H274" s="157">
        <v>3.2000000000000001E-2</v>
      </c>
      <c r="I274" s="158">
        <v>8.8800000000000008</v>
      </c>
      <c r="J274" s="158">
        <v>0.28000000000000003</v>
      </c>
    </row>
    <row r="275" spans="1:10" ht="39.6" x14ac:dyDescent="0.25">
      <c r="A275" s="155" t="s">
        <v>413</v>
      </c>
      <c r="B275" s="154" t="s">
        <v>642</v>
      </c>
      <c r="C275" s="155" t="s">
        <v>87</v>
      </c>
      <c r="D275" s="155" t="s">
        <v>643</v>
      </c>
      <c r="E275" s="196" t="s">
        <v>506</v>
      </c>
      <c r="F275" s="196"/>
      <c r="G275" s="156" t="s">
        <v>509</v>
      </c>
      <c r="H275" s="157">
        <v>0.03</v>
      </c>
      <c r="I275" s="158">
        <v>0.56999999999999995</v>
      </c>
      <c r="J275" s="158">
        <v>0.01</v>
      </c>
    </row>
    <row r="276" spans="1:10" ht="26.4" x14ac:dyDescent="0.25">
      <c r="A276" s="146" t="s">
        <v>386</v>
      </c>
      <c r="B276" s="145" t="s">
        <v>648</v>
      </c>
      <c r="C276" s="146" t="s">
        <v>87</v>
      </c>
      <c r="D276" s="146" t="s">
        <v>649</v>
      </c>
      <c r="E276" s="197" t="s">
        <v>395</v>
      </c>
      <c r="F276" s="197"/>
      <c r="G276" s="147" t="s">
        <v>13</v>
      </c>
      <c r="H276" s="148">
        <v>0.56499999999999995</v>
      </c>
      <c r="I276" s="149">
        <v>70</v>
      </c>
      <c r="J276" s="149">
        <v>39.549999999999997</v>
      </c>
    </row>
    <row r="277" spans="1:10" ht="26.4" x14ac:dyDescent="0.25">
      <c r="A277" s="146" t="s">
        <v>386</v>
      </c>
      <c r="B277" s="145" t="s">
        <v>650</v>
      </c>
      <c r="C277" s="146" t="s">
        <v>87</v>
      </c>
      <c r="D277" s="146" t="s">
        <v>651</v>
      </c>
      <c r="E277" s="197" t="s">
        <v>395</v>
      </c>
      <c r="F277" s="197"/>
      <c r="G277" s="147" t="s">
        <v>13</v>
      </c>
      <c r="H277" s="148">
        <v>0.56499999999999995</v>
      </c>
      <c r="I277" s="149">
        <v>69.63</v>
      </c>
      <c r="J277" s="149">
        <v>39.340000000000003</v>
      </c>
    </row>
    <row r="278" spans="1:10" ht="39.6" x14ac:dyDescent="0.25">
      <c r="A278" s="151"/>
      <c r="B278" s="151"/>
      <c r="C278" s="151"/>
      <c r="D278" s="151"/>
      <c r="E278" s="151" t="s">
        <v>405</v>
      </c>
      <c r="F278" s="150">
        <v>25.81</v>
      </c>
      <c r="G278" s="151" t="s">
        <v>406</v>
      </c>
      <c r="H278" s="150">
        <v>0</v>
      </c>
      <c r="I278" s="151" t="s">
        <v>407</v>
      </c>
      <c r="J278" s="150">
        <v>25.81</v>
      </c>
    </row>
    <row r="279" spans="1:10" ht="39.6" x14ac:dyDescent="0.25">
      <c r="A279" s="151"/>
      <c r="B279" s="151"/>
      <c r="C279" s="151"/>
      <c r="D279" s="151"/>
      <c r="E279" s="151" t="s">
        <v>408</v>
      </c>
      <c r="F279" s="150">
        <v>33.292864000000002</v>
      </c>
      <c r="G279" s="151"/>
      <c r="H279" s="195" t="s">
        <v>409</v>
      </c>
      <c r="I279" s="195"/>
      <c r="J279" s="150">
        <v>148.81</v>
      </c>
    </row>
    <row r="280" spans="1:10" ht="14.4" thickBot="1" x14ac:dyDescent="0.3">
      <c r="A280" s="95"/>
      <c r="B280" s="95"/>
      <c r="C280" s="95"/>
      <c r="D280" s="95"/>
      <c r="E280" s="95"/>
      <c r="F280" s="95"/>
      <c r="G280" s="95" t="s">
        <v>410</v>
      </c>
      <c r="H280" s="152">
        <v>4.25</v>
      </c>
      <c r="I280" s="95" t="s">
        <v>411</v>
      </c>
      <c r="J280" s="96">
        <v>632.44000000000005</v>
      </c>
    </row>
    <row r="281" spans="1:10" ht="14.4" thickTop="1" x14ac:dyDescent="0.25">
      <c r="A281" s="153"/>
      <c r="B281" s="153"/>
      <c r="C281" s="153"/>
      <c r="D281" s="153"/>
      <c r="E281" s="153"/>
      <c r="F281" s="153"/>
      <c r="G281" s="153"/>
      <c r="H281" s="153"/>
      <c r="I281" s="153"/>
      <c r="J281" s="153"/>
    </row>
    <row r="282" spans="1:10" x14ac:dyDescent="0.25">
      <c r="A282" s="100" t="s">
        <v>121</v>
      </c>
      <c r="B282" s="99" t="s">
        <v>82</v>
      </c>
      <c r="C282" s="100" t="s">
        <v>83</v>
      </c>
      <c r="D282" s="100" t="s">
        <v>1</v>
      </c>
      <c r="E282" s="193" t="s">
        <v>97</v>
      </c>
      <c r="F282" s="193"/>
      <c r="G282" s="101" t="s">
        <v>2</v>
      </c>
      <c r="H282" s="99" t="s">
        <v>3</v>
      </c>
      <c r="I282" s="99" t="s">
        <v>84</v>
      </c>
      <c r="J282" s="99" t="s">
        <v>86</v>
      </c>
    </row>
    <row r="283" spans="1:10" ht="26.4" x14ac:dyDescent="0.25">
      <c r="A283" s="143" t="s">
        <v>385</v>
      </c>
      <c r="B283" s="52" t="s">
        <v>201</v>
      </c>
      <c r="C283" s="143" t="s">
        <v>87</v>
      </c>
      <c r="D283" s="143" t="s">
        <v>202</v>
      </c>
      <c r="E283" s="194" t="s">
        <v>442</v>
      </c>
      <c r="F283" s="194"/>
      <c r="G283" s="51" t="s">
        <v>6</v>
      </c>
      <c r="H283" s="144">
        <v>1</v>
      </c>
      <c r="I283" s="53">
        <v>26.3</v>
      </c>
      <c r="J283" s="53">
        <v>26.3</v>
      </c>
    </row>
    <row r="284" spans="1:10" ht="39.6" x14ac:dyDescent="0.25">
      <c r="A284" s="155" t="s">
        <v>413</v>
      </c>
      <c r="B284" s="154" t="s">
        <v>646</v>
      </c>
      <c r="C284" s="155" t="s">
        <v>87</v>
      </c>
      <c r="D284" s="155" t="s">
        <v>647</v>
      </c>
      <c r="E284" s="196" t="s">
        <v>489</v>
      </c>
      <c r="F284" s="196"/>
      <c r="G284" s="156" t="s">
        <v>490</v>
      </c>
      <c r="H284" s="157">
        <v>0.27179999999999999</v>
      </c>
      <c r="I284" s="158">
        <v>27.39</v>
      </c>
      <c r="J284" s="158">
        <v>7.44</v>
      </c>
    </row>
    <row r="285" spans="1:10" ht="39.6" x14ac:dyDescent="0.25">
      <c r="A285" s="155" t="s">
        <v>413</v>
      </c>
      <c r="B285" s="154" t="s">
        <v>510</v>
      </c>
      <c r="C285" s="155" t="s">
        <v>87</v>
      </c>
      <c r="D285" s="155" t="s">
        <v>511</v>
      </c>
      <c r="E285" s="196" t="s">
        <v>489</v>
      </c>
      <c r="F285" s="196"/>
      <c r="G285" s="156" t="s">
        <v>490</v>
      </c>
      <c r="H285" s="157">
        <v>7.4099999999999999E-2</v>
      </c>
      <c r="I285" s="158">
        <v>23.71</v>
      </c>
      <c r="J285" s="158">
        <v>1.75</v>
      </c>
    </row>
    <row r="286" spans="1:10" ht="39.6" x14ac:dyDescent="0.25">
      <c r="A286" s="155" t="s">
        <v>413</v>
      </c>
      <c r="B286" s="154" t="s">
        <v>652</v>
      </c>
      <c r="C286" s="155" t="s">
        <v>87</v>
      </c>
      <c r="D286" s="155" t="s">
        <v>653</v>
      </c>
      <c r="E286" s="196" t="s">
        <v>442</v>
      </c>
      <c r="F286" s="196"/>
      <c r="G286" s="156" t="s">
        <v>13</v>
      </c>
      <c r="H286" s="157">
        <v>5.6500000000000002E-2</v>
      </c>
      <c r="I286" s="158">
        <v>302.95</v>
      </c>
      <c r="J286" s="158">
        <v>17.11</v>
      </c>
    </row>
    <row r="287" spans="1:10" ht="39.6" x14ac:dyDescent="0.25">
      <c r="A287" s="151"/>
      <c r="B287" s="151"/>
      <c r="C287" s="151"/>
      <c r="D287" s="151"/>
      <c r="E287" s="151" t="s">
        <v>405</v>
      </c>
      <c r="F287" s="150">
        <v>9.77</v>
      </c>
      <c r="G287" s="151" t="s">
        <v>406</v>
      </c>
      <c r="H287" s="150">
        <v>0</v>
      </c>
      <c r="I287" s="151" t="s">
        <v>407</v>
      </c>
      <c r="J287" s="150">
        <v>9.77</v>
      </c>
    </row>
    <row r="288" spans="1:10" ht="39.6" x14ac:dyDescent="0.25">
      <c r="A288" s="151"/>
      <c r="B288" s="151"/>
      <c r="C288" s="151"/>
      <c r="D288" s="151"/>
      <c r="E288" s="151" t="s">
        <v>408</v>
      </c>
      <c r="F288" s="150">
        <v>7.5796599999999996</v>
      </c>
      <c r="G288" s="151"/>
      <c r="H288" s="195" t="s">
        <v>409</v>
      </c>
      <c r="I288" s="195"/>
      <c r="J288" s="150">
        <v>33.880000000000003</v>
      </c>
    </row>
    <row r="289" spans="1:10" ht="14.4" thickBot="1" x14ac:dyDescent="0.3">
      <c r="A289" s="95"/>
      <c r="B289" s="95"/>
      <c r="C289" s="95"/>
      <c r="D289" s="95"/>
      <c r="E289" s="95"/>
      <c r="F289" s="95"/>
      <c r="G289" s="95" t="s">
        <v>410</v>
      </c>
      <c r="H289" s="152">
        <v>17</v>
      </c>
      <c r="I289" s="95" t="s">
        <v>411</v>
      </c>
      <c r="J289" s="96">
        <v>575.96</v>
      </c>
    </row>
    <row r="290" spans="1:10" ht="14.4" thickTop="1" x14ac:dyDescent="0.25">
      <c r="A290" s="153"/>
      <c r="B290" s="153"/>
      <c r="C290" s="153"/>
      <c r="D290" s="153"/>
      <c r="E290" s="153"/>
      <c r="F290" s="153"/>
      <c r="G290" s="153"/>
      <c r="H290" s="153"/>
      <c r="I290" s="153"/>
      <c r="J290" s="153"/>
    </row>
    <row r="291" spans="1:10" x14ac:dyDescent="0.25">
      <c r="A291" s="142" t="s">
        <v>17</v>
      </c>
      <c r="B291" s="142"/>
      <c r="C291" s="142"/>
      <c r="D291" s="142" t="s">
        <v>203</v>
      </c>
      <c r="E291" s="142"/>
      <c r="F291" s="198"/>
      <c r="G291" s="198"/>
      <c r="H291" s="73"/>
      <c r="I291" s="142"/>
      <c r="J291" s="74">
        <v>115788.26</v>
      </c>
    </row>
    <row r="292" spans="1:10" x14ac:dyDescent="0.25">
      <c r="A292" s="100" t="s">
        <v>324</v>
      </c>
      <c r="B292" s="99" t="s">
        <v>82</v>
      </c>
      <c r="C292" s="100" t="s">
        <v>83</v>
      </c>
      <c r="D292" s="100" t="s">
        <v>1</v>
      </c>
      <c r="E292" s="193" t="s">
        <v>97</v>
      </c>
      <c r="F292" s="193"/>
      <c r="G292" s="101" t="s">
        <v>2</v>
      </c>
      <c r="H292" s="99" t="s">
        <v>3</v>
      </c>
      <c r="I292" s="99" t="s">
        <v>84</v>
      </c>
      <c r="J292" s="99" t="s">
        <v>86</v>
      </c>
    </row>
    <row r="293" spans="1:10" ht="26.4" x14ac:dyDescent="0.25">
      <c r="A293" s="143" t="s">
        <v>385</v>
      </c>
      <c r="B293" s="52" t="s">
        <v>383</v>
      </c>
      <c r="C293" s="143" t="s">
        <v>326</v>
      </c>
      <c r="D293" s="143" t="s">
        <v>384</v>
      </c>
      <c r="E293" s="194" t="s">
        <v>654</v>
      </c>
      <c r="F293" s="194"/>
      <c r="G293" s="51" t="s">
        <v>19</v>
      </c>
      <c r="H293" s="144">
        <v>1</v>
      </c>
      <c r="I293" s="53">
        <v>6420.27</v>
      </c>
      <c r="J293" s="53">
        <v>6420.27</v>
      </c>
    </row>
    <row r="294" spans="1:10" ht="39.6" x14ac:dyDescent="0.25">
      <c r="A294" s="155" t="s">
        <v>413</v>
      </c>
      <c r="B294" s="154" t="s">
        <v>605</v>
      </c>
      <c r="C294" s="155" t="s">
        <v>87</v>
      </c>
      <c r="D294" s="155" t="s">
        <v>606</v>
      </c>
      <c r="E294" s="196" t="s">
        <v>506</v>
      </c>
      <c r="F294" s="196"/>
      <c r="G294" s="156" t="s">
        <v>126</v>
      </c>
      <c r="H294" s="157">
        <v>1.5</v>
      </c>
      <c r="I294" s="158">
        <v>199.87</v>
      </c>
      <c r="J294" s="158">
        <v>299.8</v>
      </c>
    </row>
    <row r="295" spans="1:10" ht="39.6" x14ac:dyDescent="0.25">
      <c r="A295" s="155" t="s">
        <v>413</v>
      </c>
      <c r="B295" s="154" t="s">
        <v>607</v>
      </c>
      <c r="C295" s="155" t="s">
        <v>87</v>
      </c>
      <c r="D295" s="155" t="s">
        <v>608</v>
      </c>
      <c r="E295" s="196" t="s">
        <v>506</v>
      </c>
      <c r="F295" s="196"/>
      <c r="G295" s="156" t="s">
        <v>509</v>
      </c>
      <c r="H295" s="157">
        <v>1.2</v>
      </c>
      <c r="I295" s="158">
        <v>82.68</v>
      </c>
      <c r="J295" s="158">
        <v>99.21</v>
      </c>
    </row>
    <row r="296" spans="1:10" ht="39.6" x14ac:dyDescent="0.25">
      <c r="A296" s="155" t="s">
        <v>413</v>
      </c>
      <c r="B296" s="154" t="s">
        <v>655</v>
      </c>
      <c r="C296" s="155" t="s">
        <v>87</v>
      </c>
      <c r="D296" s="155" t="s">
        <v>656</v>
      </c>
      <c r="E296" s="196" t="s">
        <v>489</v>
      </c>
      <c r="F296" s="196"/>
      <c r="G296" s="156" t="s">
        <v>490</v>
      </c>
      <c r="H296" s="157">
        <v>0.33700000000000002</v>
      </c>
      <c r="I296" s="158">
        <v>24.57</v>
      </c>
      <c r="J296" s="158">
        <v>8.2799999999999994</v>
      </c>
    </row>
    <row r="297" spans="1:10" ht="39.6" x14ac:dyDescent="0.25">
      <c r="A297" s="155" t="s">
        <v>413</v>
      </c>
      <c r="B297" s="154" t="s">
        <v>510</v>
      </c>
      <c r="C297" s="155" t="s">
        <v>87</v>
      </c>
      <c r="D297" s="155" t="s">
        <v>511</v>
      </c>
      <c r="E297" s="196" t="s">
        <v>489</v>
      </c>
      <c r="F297" s="196"/>
      <c r="G297" s="156" t="s">
        <v>490</v>
      </c>
      <c r="H297" s="157">
        <v>0.67400000000000004</v>
      </c>
      <c r="I297" s="158">
        <v>23.71</v>
      </c>
      <c r="J297" s="158">
        <v>15.98</v>
      </c>
    </row>
    <row r="298" spans="1:10" ht="26.4" x14ac:dyDescent="0.25">
      <c r="A298" s="146" t="s">
        <v>386</v>
      </c>
      <c r="B298" s="145" t="s">
        <v>657</v>
      </c>
      <c r="C298" s="146" t="s">
        <v>326</v>
      </c>
      <c r="D298" s="146" t="s">
        <v>658</v>
      </c>
      <c r="E298" s="197" t="s">
        <v>395</v>
      </c>
      <c r="F298" s="197"/>
      <c r="G298" s="147" t="s">
        <v>19</v>
      </c>
      <c r="H298" s="148">
        <v>1</v>
      </c>
      <c r="I298" s="149">
        <v>5997</v>
      </c>
      <c r="J298" s="149">
        <v>5997</v>
      </c>
    </row>
    <row r="299" spans="1:10" ht="39.6" x14ac:dyDescent="0.25">
      <c r="A299" s="151"/>
      <c r="B299" s="151"/>
      <c r="C299" s="151"/>
      <c r="D299" s="151"/>
      <c r="E299" s="151" t="s">
        <v>405</v>
      </c>
      <c r="F299" s="150">
        <v>83.29</v>
      </c>
      <c r="G299" s="151" t="s">
        <v>406</v>
      </c>
      <c r="H299" s="150">
        <v>0</v>
      </c>
      <c r="I299" s="151" t="s">
        <v>407</v>
      </c>
      <c r="J299" s="150">
        <v>83.29</v>
      </c>
    </row>
    <row r="300" spans="1:10" ht="39.6" x14ac:dyDescent="0.25">
      <c r="A300" s="151"/>
      <c r="B300" s="151"/>
      <c r="C300" s="151"/>
      <c r="D300" s="151"/>
      <c r="E300" s="151" t="s">
        <v>408</v>
      </c>
      <c r="F300" s="150">
        <v>1850.3218139999999</v>
      </c>
      <c r="G300" s="151"/>
      <c r="H300" s="195" t="s">
        <v>409</v>
      </c>
      <c r="I300" s="195"/>
      <c r="J300" s="150">
        <v>8270.59</v>
      </c>
    </row>
    <row r="301" spans="1:10" ht="14.4" thickBot="1" x14ac:dyDescent="0.3">
      <c r="A301" s="95"/>
      <c r="B301" s="95"/>
      <c r="C301" s="95"/>
      <c r="D301" s="95"/>
      <c r="E301" s="95"/>
      <c r="F301" s="95"/>
      <c r="G301" s="95" t="s">
        <v>410</v>
      </c>
      <c r="H301" s="152">
        <v>14</v>
      </c>
      <c r="I301" s="95" t="s">
        <v>411</v>
      </c>
      <c r="J301" s="96">
        <v>115788.26</v>
      </c>
    </row>
    <row r="302" spans="1:10" ht="14.4" thickTop="1" x14ac:dyDescent="0.25">
      <c r="A302" s="153"/>
      <c r="B302" s="153"/>
      <c r="C302" s="153"/>
      <c r="D302" s="153"/>
      <c r="E302" s="153"/>
      <c r="F302" s="153"/>
      <c r="G302" s="153"/>
      <c r="H302" s="153"/>
      <c r="I302" s="153"/>
      <c r="J302" s="153"/>
    </row>
    <row r="303" spans="1:10" x14ac:dyDescent="0.25">
      <c r="A303" s="142" t="s">
        <v>204</v>
      </c>
      <c r="B303" s="142"/>
      <c r="C303" s="142"/>
      <c r="D303" s="142" t="s">
        <v>205</v>
      </c>
      <c r="E303" s="142"/>
      <c r="F303" s="198"/>
      <c r="G303" s="198"/>
      <c r="H303" s="73"/>
      <c r="I303" s="142"/>
      <c r="J303" s="74">
        <v>9851.5499999999993</v>
      </c>
    </row>
    <row r="304" spans="1:10" x14ac:dyDescent="0.25">
      <c r="A304" s="100" t="s">
        <v>206</v>
      </c>
      <c r="B304" s="99" t="s">
        <v>82</v>
      </c>
      <c r="C304" s="100" t="s">
        <v>83</v>
      </c>
      <c r="D304" s="100" t="s">
        <v>1</v>
      </c>
      <c r="E304" s="193" t="s">
        <v>97</v>
      </c>
      <c r="F304" s="193"/>
      <c r="G304" s="101" t="s">
        <v>2</v>
      </c>
      <c r="H304" s="99" t="s">
        <v>3</v>
      </c>
      <c r="I304" s="99" t="s">
        <v>84</v>
      </c>
      <c r="J304" s="99" t="s">
        <v>86</v>
      </c>
    </row>
    <row r="305" spans="1:10" ht="39.6" x14ac:dyDescent="0.25">
      <c r="A305" s="143" t="s">
        <v>385</v>
      </c>
      <c r="B305" s="52" t="s">
        <v>207</v>
      </c>
      <c r="C305" s="143" t="s">
        <v>87</v>
      </c>
      <c r="D305" s="143" t="s">
        <v>208</v>
      </c>
      <c r="E305" s="194" t="s">
        <v>442</v>
      </c>
      <c r="F305" s="194"/>
      <c r="G305" s="51" t="s">
        <v>6</v>
      </c>
      <c r="H305" s="144">
        <v>1</v>
      </c>
      <c r="I305" s="53">
        <v>211.58</v>
      </c>
      <c r="J305" s="53">
        <v>211.58</v>
      </c>
    </row>
    <row r="306" spans="1:10" ht="39.6" x14ac:dyDescent="0.25">
      <c r="A306" s="155" t="s">
        <v>413</v>
      </c>
      <c r="B306" s="154" t="s">
        <v>663</v>
      </c>
      <c r="C306" s="155" t="s">
        <v>87</v>
      </c>
      <c r="D306" s="155" t="s">
        <v>664</v>
      </c>
      <c r="E306" s="196" t="s">
        <v>489</v>
      </c>
      <c r="F306" s="196"/>
      <c r="G306" s="156" t="s">
        <v>490</v>
      </c>
      <c r="H306" s="157">
        <v>0.55500000000000005</v>
      </c>
      <c r="I306" s="158">
        <v>23.59</v>
      </c>
      <c r="J306" s="158">
        <v>13.09</v>
      </c>
    </row>
    <row r="307" spans="1:10" ht="39.6" x14ac:dyDescent="0.25">
      <c r="A307" s="155" t="s">
        <v>413</v>
      </c>
      <c r="B307" s="154" t="s">
        <v>487</v>
      </c>
      <c r="C307" s="155" t="s">
        <v>87</v>
      </c>
      <c r="D307" s="155" t="s">
        <v>488</v>
      </c>
      <c r="E307" s="196" t="s">
        <v>489</v>
      </c>
      <c r="F307" s="196"/>
      <c r="G307" s="156" t="s">
        <v>490</v>
      </c>
      <c r="H307" s="157">
        <v>1.5660000000000001</v>
      </c>
      <c r="I307" s="158">
        <v>27.02</v>
      </c>
      <c r="J307" s="158">
        <v>42.31</v>
      </c>
    </row>
    <row r="308" spans="1:10" ht="39.6" x14ac:dyDescent="0.25">
      <c r="A308" s="155" t="s">
        <v>413</v>
      </c>
      <c r="B308" s="154" t="s">
        <v>659</v>
      </c>
      <c r="C308" s="155" t="s">
        <v>87</v>
      </c>
      <c r="D308" s="155" t="s">
        <v>660</v>
      </c>
      <c r="E308" s="196" t="s">
        <v>506</v>
      </c>
      <c r="F308" s="196"/>
      <c r="G308" s="156" t="s">
        <v>126</v>
      </c>
      <c r="H308" s="157">
        <v>6.2E-2</v>
      </c>
      <c r="I308" s="158">
        <v>28.17</v>
      </c>
      <c r="J308" s="158">
        <v>1.74</v>
      </c>
    </row>
    <row r="309" spans="1:10" ht="39.6" x14ac:dyDescent="0.25">
      <c r="A309" s="155" t="s">
        <v>413</v>
      </c>
      <c r="B309" s="154" t="s">
        <v>661</v>
      </c>
      <c r="C309" s="155" t="s">
        <v>87</v>
      </c>
      <c r="D309" s="155" t="s">
        <v>662</v>
      </c>
      <c r="E309" s="196" t="s">
        <v>506</v>
      </c>
      <c r="F309" s="196"/>
      <c r="G309" s="156" t="s">
        <v>509</v>
      </c>
      <c r="H309" s="157">
        <v>5.2999999999999999E-2</v>
      </c>
      <c r="I309" s="158">
        <v>27.09</v>
      </c>
      <c r="J309" s="158">
        <v>1.43</v>
      </c>
    </row>
    <row r="310" spans="1:10" ht="26.4" x14ac:dyDescent="0.25">
      <c r="A310" s="146" t="s">
        <v>386</v>
      </c>
      <c r="B310" s="145" t="s">
        <v>665</v>
      </c>
      <c r="C310" s="146" t="s">
        <v>87</v>
      </c>
      <c r="D310" s="146" t="s">
        <v>666</v>
      </c>
      <c r="E310" s="197" t="s">
        <v>395</v>
      </c>
      <c r="F310" s="197"/>
      <c r="G310" s="147" t="s">
        <v>30</v>
      </c>
      <c r="H310" s="148">
        <v>1.7000000000000001E-2</v>
      </c>
      <c r="I310" s="149">
        <v>7.29</v>
      </c>
      <c r="J310" s="149">
        <v>0.12</v>
      </c>
    </row>
    <row r="311" spans="1:10" ht="26.4" x14ac:dyDescent="0.25">
      <c r="A311" s="146" t="s">
        <v>386</v>
      </c>
      <c r="B311" s="145" t="s">
        <v>667</v>
      </c>
      <c r="C311" s="146" t="s">
        <v>87</v>
      </c>
      <c r="D311" s="146" t="s">
        <v>668</v>
      </c>
      <c r="E311" s="197" t="s">
        <v>395</v>
      </c>
      <c r="F311" s="197"/>
      <c r="G311" s="147" t="s">
        <v>19</v>
      </c>
      <c r="H311" s="148">
        <v>2.2440000000000002</v>
      </c>
      <c r="I311" s="149">
        <v>7.43</v>
      </c>
      <c r="J311" s="149">
        <v>16.670000000000002</v>
      </c>
    </row>
    <row r="312" spans="1:10" ht="26.4" x14ac:dyDescent="0.25">
      <c r="A312" s="146" t="s">
        <v>386</v>
      </c>
      <c r="B312" s="145" t="s">
        <v>673</v>
      </c>
      <c r="C312" s="146" t="s">
        <v>87</v>
      </c>
      <c r="D312" s="146" t="s">
        <v>674</v>
      </c>
      <c r="E312" s="197" t="s">
        <v>395</v>
      </c>
      <c r="F312" s="197"/>
      <c r="G312" s="147" t="s">
        <v>19</v>
      </c>
      <c r="H312" s="148">
        <v>2.1040000000000001</v>
      </c>
      <c r="I312" s="149">
        <v>2.6</v>
      </c>
      <c r="J312" s="149">
        <v>5.47</v>
      </c>
    </row>
    <row r="313" spans="1:10" x14ac:dyDescent="0.25">
      <c r="A313" s="146" t="s">
        <v>386</v>
      </c>
      <c r="B313" s="145" t="s">
        <v>671</v>
      </c>
      <c r="C313" s="146" t="s">
        <v>87</v>
      </c>
      <c r="D313" s="146" t="s">
        <v>672</v>
      </c>
      <c r="E313" s="197" t="s">
        <v>395</v>
      </c>
      <c r="F313" s="197"/>
      <c r="G313" s="147" t="s">
        <v>28</v>
      </c>
      <c r="H313" s="148">
        <v>9.5000000000000001E-2</v>
      </c>
      <c r="I313" s="149">
        <v>16.59</v>
      </c>
      <c r="J313" s="149">
        <v>1.57</v>
      </c>
    </row>
    <row r="314" spans="1:10" ht="26.4" x14ac:dyDescent="0.25">
      <c r="A314" s="146" t="s">
        <v>386</v>
      </c>
      <c r="B314" s="145" t="s">
        <v>675</v>
      </c>
      <c r="C314" s="146" t="s">
        <v>87</v>
      </c>
      <c r="D314" s="146" t="s">
        <v>676</v>
      </c>
      <c r="E314" s="197" t="s">
        <v>395</v>
      </c>
      <c r="F314" s="197"/>
      <c r="G314" s="147" t="s">
        <v>19</v>
      </c>
      <c r="H314" s="148">
        <v>3.74</v>
      </c>
      <c r="I314" s="149">
        <v>34.36</v>
      </c>
      <c r="J314" s="149">
        <v>128.5</v>
      </c>
    </row>
    <row r="315" spans="1:10" x14ac:dyDescent="0.25">
      <c r="A315" s="146" t="s">
        <v>386</v>
      </c>
      <c r="B315" s="145" t="s">
        <v>669</v>
      </c>
      <c r="C315" s="146" t="s">
        <v>87</v>
      </c>
      <c r="D315" s="146" t="s">
        <v>670</v>
      </c>
      <c r="E315" s="197" t="s">
        <v>395</v>
      </c>
      <c r="F315" s="197"/>
      <c r="G315" s="147" t="s">
        <v>28</v>
      </c>
      <c r="H315" s="148">
        <v>3.4000000000000002E-2</v>
      </c>
      <c r="I315" s="149">
        <v>20.09</v>
      </c>
      <c r="J315" s="149">
        <v>0.68</v>
      </c>
    </row>
    <row r="316" spans="1:10" ht="39.6" x14ac:dyDescent="0.25">
      <c r="A316" s="151"/>
      <c r="B316" s="151"/>
      <c r="C316" s="151"/>
      <c r="D316" s="151"/>
      <c r="E316" s="151" t="s">
        <v>405</v>
      </c>
      <c r="F316" s="150">
        <v>41.77</v>
      </c>
      <c r="G316" s="151" t="s">
        <v>406</v>
      </c>
      <c r="H316" s="150">
        <v>0</v>
      </c>
      <c r="I316" s="151" t="s">
        <v>407</v>
      </c>
      <c r="J316" s="150">
        <v>41.77</v>
      </c>
    </row>
    <row r="317" spans="1:10" ht="39.6" x14ac:dyDescent="0.25">
      <c r="A317" s="151"/>
      <c r="B317" s="151"/>
      <c r="C317" s="151"/>
      <c r="D317" s="151"/>
      <c r="E317" s="151" t="s">
        <v>408</v>
      </c>
      <c r="F317" s="150">
        <v>60.977356</v>
      </c>
      <c r="G317" s="151"/>
      <c r="H317" s="195" t="s">
        <v>409</v>
      </c>
      <c r="I317" s="195"/>
      <c r="J317" s="150">
        <v>272.56</v>
      </c>
    </row>
    <row r="318" spans="1:10" ht="14.4" thickBot="1" x14ac:dyDescent="0.3">
      <c r="A318" s="95"/>
      <c r="B318" s="95"/>
      <c r="C318" s="95"/>
      <c r="D318" s="95"/>
      <c r="E318" s="95"/>
      <c r="F318" s="95"/>
      <c r="G318" s="95" t="s">
        <v>410</v>
      </c>
      <c r="H318" s="152">
        <v>12.82</v>
      </c>
      <c r="I318" s="95" t="s">
        <v>411</v>
      </c>
      <c r="J318" s="96">
        <v>3494.22</v>
      </c>
    </row>
    <row r="319" spans="1:10" ht="14.4" thickTop="1" x14ac:dyDescent="0.25">
      <c r="A319" s="153"/>
      <c r="B319" s="153"/>
      <c r="C319" s="153"/>
      <c r="D319" s="153"/>
      <c r="E319" s="153"/>
      <c r="F319" s="153"/>
      <c r="G319" s="153"/>
      <c r="H319" s="153"/>
      <c r="I319" s="153"/>
      <c r="J319" s="153"/>
    </row>
    <row r="320" spans="1:10" x14ac:dyDescent="0.25">
      <c r="A320" s="100" t="s">
        <v>209</v>
      </c>
      <c r="B320" s="99" t="s">
        <v>82</v>
      </c>
      <c r="C320" s="100" t="s">
        <v>83</v>
      </c>
      <c r="D320" s="100" t="s">
        <v>1</v>
      </c>
      <c r="E320" s="193" t="s">
        <v>97</v>
      </c>
      <c r="F320" s="193"/>
      <c r="G320" s="101" t="s">
        <v>2</v>
      </c>
      <c r="H320" s="99" t="s">
        <v>3</v>
      </c>
      <c r="I320" s="99" t="s">
        <v>84</v>
      </c>
      <c r="J320" s="99" t="s">
        <v>86</v>
      </c>
    </row>
    <row r="321" spans="1:10" ht="26.4" x14ac:dyDescent="0.25">
      <c r="A321" s="143" t="s">
        <v>385</v>
      </c>
      <c r="B321" s="52" t="s">
        <v>91</v>
      </c>
      <c r="C321" s="143" t="s">
        <v>1373</v>
      </c>
      <c r="D321" s="143" t="s">
        <v>20</v>
      </c>
      <c r="E321" s="194">
        <v>10.02</v>
      </c>
      <c r="F321" s="194"/>
      <c r="G321" s="51" t="s">
        <v>118</v>
      </c>
      <c r="H321" s="144">
        <v>1</v>
      </c>
      <c r="I321" s="53">
        <v>14.23</v>
      </c>
      <c r="J321" s="53">
        <v>14.23</v>
      </c>
    </row>
    <row r="322" spans="1:10" ht="39.6" x14ac:dyDescent="0.25">
      <c r="A322" s="146" t="s">
        <v>386</v>
      </c>
      <c r="B322" s="145" t="s">
        <v>683</v>
      </c>
      <c r="C322" s="146" t="s">
        <v>1373</v>
      </c>
      <c r="D322" s="146" t="s">
        <v>684</v>
      </c>
      <c r="E322" s="197" t="s">
        <v>395</v>
      </c>
      <c r="F322" s="197"/>
      <c r="G322" s="147" t="s">
        <v>118</v>
      </c>
      <c r="H322" s="148">
        <v>6.4999999999999997E-3</v>
      </c>
      <c r="I322" s="149">
        <v>17.13</v>
      </c>
      <c r="J322" s="149">
        <v>0.11</v>
      </c>
    </row>
    <row r="323" spans="1:10" ht="39.6" x14ac:dyDescent="0.25">
      <c r="A323" s="146" t="s">
        <v>386</v>
      </c>
      <c r="B323" s="145" t="s">
        <v>681</v>
      </c>
      <c r="C323" s="146" t="s">
        <v>1373</v>
      </c>
      <c r="D323" s="146" t="s">
        <v>682</v>
      </c>
      <c r="E323" s="197" t="s">
        <v>395</v>
      </c>
      <c r="F323" s="197"/>
      <c r="G323" s="147" t="s">
        <v>118</v>
      </c>
      <c r="H323" s="148">
        <v>1.1000000000000001</v>
      </c>
      <c r="I323" s="149">
        <v>11.86</v>
      </c>
      <c r="J323" s="149">
        <v>13.04</v>
      </c>
    </row>
    <row r="324" spans="1:10" ht="39.6" x14ac:dyDescent="0.25">
      <c r="A324" s="146" t="s">
        <v>386</v>
      </c>
      <c r="B324" s="145" t="s">
        <v>677</v>
      </c>
      <c r="C324" s="146" t="s">
        <v>1373</v>
      </c>
      <c r="D324" s="146" t="s">
        <v>678</v>
      </c>
      <c r="E324" s="197" t="s">
        <v>389</v>
      </c>
      <c r="F324" s="197"/>
      <c r="G324" s="147" t="s">
        <v>390</v>
      </c>
      <c r="H324" s="148">
        <v>0.02</v>
      </c>
      <c r="I324" s="149">
        <v>20.53</v>
      </c>
      <c r="J324" s="149">
        <v>0.41</v>
      </c>
    </row>
    <row r="325" spans="1:10" ht="39.6" x14ac:dyDescent="0.25">
      <c r="A325" s="146" t="s">
        <v>386</v>
      </c>
      <c r="B325" s="145" t="s">
        <v>679</v>
      </c>
      <c r="C325" s="146" t="s">
        <v>1373</v>
      </c>
      <c r="D325" s="146" t="s">
        <v>680</v>
      </c>
      <c r="E325" s="197" t="s">
        <v>389</v>
      </c>
      <c r="F325" s="197"/>
      <c r="G325" s="147" t="s">
        <v>390</v>
      </c>
      <c r="H325" s="148">
        <v>0.04</v>
      </c>
      <c r="I325" s="149">
        <v>16.87</v>
      </c>
      <c r="J325" s="149">
        <v>0.67</v>
      </c>
    </row>
    <row r="326" spans="1:10" ht="39.6" x14ac:dyDescent="0.25">
      <c r="A326" s="151"/>
      <c r="B326" s="151"/>
      <c r="C326" s="151"/>
      <c r="D326" s="151"/>
      <c r="E326" s="151" t="s">
        <v>405</v>
      </c>
      <c r="F326" s="150">
        <v>1.08</v>
      </c>
      <c r="G326" s="151" t="s">
        <v>406</v>
      </c>
      <c r="H326" s="150">
        <v>0</v>
      </c>
      <c r="I326" s="151" t="s">
        <v>407</v>
      </c>
      <c r="J326" s="150">
        <v>1.08</v>
      </c>
    </row>
    <row r="327" spans="1:10" ht="39.6" x14ac:dyDescent="0.25">
      <c r="A327" s="151"/>
      <c r="B327" s="151"/>
      <c r="C327" s="151"/>
      <c r="D327" s="151"/>
      <c r="E327" s="151" t="s">
        <v>408</v>
      </c>
      <c r="F327" s="150">
        <v>4.1010859999999996</v>
      </c>
      <c r="G327" s="151"/>
      <c r="H327" s="195" t="s">
        <v>409</v>
      </c>
      <c r="I327" s="195"/>
      <c r="J327" s="150">
        <v>18.329999999999998</v>
      </c>
    </row>
    <row r="328" spans="1:10" ht="14.4" thickBot="1" x14ac:dyDescent="0.3">
      <c r="A328" s="95"/>
      <c r="B328" s="95"/>
      <c r="C328" s="95"/>
      <c r="D328" s="95"/>
      <c r="E328" s="95"/>
      <c r="F328" s="95"/>
      <c r="G328" s="95" t="s">
        <v>410</v>
      </c>
      <c r="H328" s="152">
        <v>52.8</v>
      </c>
      <c r="I328" s="95" t="s">
        <v>411</v>
      </c>
      <c r="J328" s="96">
        <v>967.82</v>
      </c>
    </row>
    <row r="329" spans="1:10" ht="14.4" thickTop="1" x14ac:dyDescent="0.25">
      <c r="A329" s="153"/>
      <c r="B329" s="153"/>
      <c r="C329" s="153"/>
      <c r="D329" s="153"/>
      <c r="E329" s="153"/>
      <c r="F329" s="153"/>
      <c r="G329" s="153"/>
      <c r="H329" s="153"/>
      <c r="I329" s="153"/>
      <c r="J329" s="153"/>
    </row>
    <row r="330" spans="1:10" x14ac:dyDescent="0.25">
      <c r="A330" s="100" t="s">
        <v>210</v>
      </c>
      <c r="B330" s="99" t="s">
        <v>82</v>
      </c>
      <c r="C330" s="100" t="s">
        <v>83</v>
      </c>
      <c r="D330" s="100" t="s">
        <v>1</v>
      </c>
      <c r="E330" s="193" t="s">
        <v>97</v>
      </c>
      <c r="F330" s="193"/>
      <c r="G330" s="101" t="s">
        <v>2</v>
      </c>
      <c r="H330" s="99" t="s">
        <v>3</v>
      </c>
      <c r="I330" s="99" t="s">
        <v>84</v>
      </c>
      <c r="J330" s="99" t="s">
        <v>86</v>
      </c>
    </row>
    <row r="331" spans="1:10" ht="26.4" x14ac:dyDescent="0.25">
      <c r="A331" s="143" t="s">
        <v>385</v>
      </c>
      <c r="B331" s="52" t="s">
        <v>89</v>
      </c>
      <c r="C331" s="143" t="s">
        <v>1373</v>
      </c>
      <c r="D331" s="143" t="s">
        <v>16</v>
      </c>
      <c r="E331" s="194">
        <v>10.01</v>
      </c>
      <c r="F331" s="194"/>
      <c r="G331" s="51" t="s">
        <v>118</v>
      </c>
      <c r="H331" s="144">
        <v>1</v>
      </c>
      <c r="I331" s="53">
        <v>10.93</v>
      </c>
      <c r="J331" s="53">
        <v>10.93</v>
      </c>
    </row>
    <row r="332" spans="1:10" ht="39.6" x14ac:dyDescent="0.25">
      <c r="A332" s="146" t="s">
        <v>386</v>
      </c>
      <c r="B332" s="145" t="s">
        <v>683</v>
      </c>
      <c r="C332" s="146" t="s">
        <v>1373</v>
      </c>
      <c r="D332" s="146" t="s">
        <v>684</v>
      </c>
      <c r="E332" s="197" t="s">
        <v>395</v>
      </c>
      <c r="F332" s="197"/>
      <c r="G332" s="147" t="s">
        <v>118</v>
      </c>
      <c r="H332" s="148">
        <v>0.03</v>
      </c>
      <c r="I332" s="149">
        <v>17.13</v>
      </c>
      <c r="J332" s="149">
        <v>0.51</v>
      </c>
    </row>
    <row r="333" spans="1:10" ht="39.6" x14ac:dyDescent="0.25">
      <c r="A333" s="146" t="s">
        <v>386</v>
      </c>
      <c r="B333" s="145" t="s">
        <v>679</v>
      </c>
      <c r="C333" s="146" t="s">
        <v>1373</v>
      </c>
      <c r="D333" s="146" t="s">
        <v>680</v>
      </c>
      <c r="E333" s="197" t="s">
        <v>389</v>
      </c>
      <c r="F333" s="197"/>
      <c r="G333" s="147" t="s">
        <v>390</v>
      </c>
      <c r="H333" s="148">
        <v>0.08</v>
      </c>
      <c r="I333" s="149">
        <v>16.87</v>
      </c>
      <c r="J333" s="149">
        <v>1.34</v>
      </c>
    </row>
    <row r="334" spans="1:10" ht="39.6" x14ac:dyDescent="0.25">
      <c r="A334" s="146" t="s">
        <v>386</v>
      </c>
      <c r="B334" s="145" t="s">
        <v>685</v>
      </c>
      <c r="C334" s="146" t="s">
        <v>1373</v>
      </c>
      <c r="D334" s="146" t="s">
        <v>686</v>
      </c>
      <c r="E334" s="197" t="s">
        <v>395</v>
      </c>
      <c r="F334" s="197"/>
      <c r="G334" s="147" t="s">
        <v>118</v>
      </c>
      <c r="H334" s="148">
        <v>1.1000000000000001</v>
      </c>
      <c r="I334" s="149">
        <v>7.51</v>
      </c>
      <c r="J334" s="149">
        <v>8.26</v>
      </c>
    </row>
    <row r="335" spans="1:10" ht="39.6" x14ac:dyDescent="0.25">
      <c r="A335" s="146" t="s">
        <v>386</v>
      </c>
      <c r="B335" s="145" t="s">
        <v>677</v>
      </c>
      <c r="C335" s="146" t="s">
        <v>1373</v>
      </c>
      <c r="D335" s="146" t="s">
        <v>678</v>
      </c>
      <c r="E335" s="197" t="s">
        <v>389</v>
      </c>
      <c r="F335" s="197"/>
      <c r="G335" s="147" t="s">
        <v>390</v>
      </c>
      <c r="H335" s="148">
        <v>0.04</v>
      </c>
      <c r="I335" s="149">
        <v>20.53</v>
      </c>
      <c r="J335" s="149">
        <v>0.82</v>
      </c>
    </row>
    <row r="336" spans="1:10" ht="39.6" x14ac:dyDescent="0.25">
      <c r="A336" s="151"/>
      <c r="B336" s="151"/>
      <c r="C336" s="151"/>
      <c r="D336" s="151"/>
      <c r="E336" s="151" t="s">
        <v>405</v>
      </c>
      <c r="F336" s="150">
        <v>2.16</v>
      </c>
      <c r="G336" s="151" t="s">
        <v>406</v>
      </c>
      <c r="H336" s="150">
        <v>0</v>
      </c>
      <c r="I336" s="151" t="s">
        <v>407</v>
      </c>
      <c r="J336" s="150">
        <v>2.16</v>
      </c>
    </row>
    <row r="337" spans="1:10" ht="39.6" x14ac:dyDescent="0.25">
      <c r="A337" s="151"/>
      <c r="B337" s="151"/>
      <c r="C337" s="151"/>
      <c r="D337" s="151"/>
      <c r="E337" s="151" t="s">
        <v>408</v>
      </c>
      <c r="F337" s="150">
        <v>3.150026</v>
      </c>
      <c r="G337" s="151"/>
      <c r="H337" s="195" t="s">
        <v>409</v>
      </c>
      <c r="I337" s="195"/>
      <c r="J337" s="150">
        <v>14.08</v>
      </c>
    </row>
    <row r="338" spans="1:10" ht="14.4" thickBot="1" x14ac:dyDescent="0.3">
      <c r="A338" s="95"/>
      <c r="B338" s="95"/>
      <c r="C338" s="95"/>
      <c r="D338" s="95"/>
      <c r="E338" s="95"/>
      <c r="F338" s="95"/>
      <c r="G338" s="95" t="s">
        <v>410</v>
      </c>
      <c r="H338" s="152">
        <v>98.14</v>
      </c>
      <c r="I338" s="95" t="s">
        <v>411</v>
      </c>
      <c r="J338" s="96">
        <v>1381.81</v>
      </c>
    </row>
    <row r="339" spans="1:10" ht="14.4" thickTop="1" x14ac:dyDescent="0.25">
      <c r="A339" s="153"/>
      <c r="B339" s="153"/>
      <c r="C339" s="153"/>
      <c r="D339" s="153"/>
      <c r="E339" s="153"/>
      <c r="F339" s="153"/>
      <c r="G339" s="153"/>
      <c r="H339" s="153"/>
      <c r="I339" s="153"/>
      <c r="J339" s="153"/>
    </row>
    <row r="340" spans="1:10" x14ac:dyDescent="0.25">
      <c r="A340" s="100" t="s">
        <v>211</v>
      </c>
      <c r="B340" s="99" t="s">
        <v>82</v>
      </c>
      <c r="C340" s="100" t="s">
        <v>83</v>
      </c>
      <c r="D340" s="100" t="s">
        <v>1</v>
      </c>
      <c r="E340" s="193" t="s">
        <v>97</v>
      </c>
      <c r="F340" s="193"/>
      <c r="G340" s="101" t="s">
        <v>2</v>
      </c>
      <c r="H340" s="99" t="s">
        <v>3</v>
      </c>
      <c r="I340" s="99" t="s">
        <v>84</v>
      </c>
      <c r="J340" s="99" t="s">
        <v>86</v>
      </c>
    </row>
    <row r="341" spans="1:10" ht="26.4" x14ac:dyDescent="0.25">
      <c r="A341" s="143" t="s">
        <v>385</v>
      </c>
      <c r="B341" s="52" t="s">
        <v>212</v>
      </c>
      <c r="C341" s="143" t="s">
        <v>1373</v>
      </c>
      <c r="D341" s="143" t="s">
        <v>213</v>
      </c>
      <c r="E341" s="194">
        <v>11.01</v>
      </c>
      <c r="F341" s="194"/>
      <c r="G341" s="51" t="s">
        <v>13</v>
      </c>
      <c r="H341" s="144">
        <v>1</v>
      </c>
      <c r="I341" s="53">
        <v>532.72</v>
      </c>
      <c r="J341" s="53">
        <v>532.72</v>
      </c>
    </row>
    <row r="342" spans="1:10" ht="39.6" x14ac:dyDescent="0.25">
      <c r="A342" s="146" t="s">
        <v>386</v>
      </c>
      <c r="B342" s="145" t="s">
        <v>687</v>
      </c>
      <c r="C342" s="146" t="s">
        <v>1373</v>
      </c>
      <c r="D342" s="146" t="s">
        <v>688</v>
      </c>
      <c r="E342" s="197" t="s">
        <v>395</v>
      </c>
      <c r="F342" s="197"/>
      <c r="G342" s="147" t="s">
        <v>13</v>
      </c>
      <c r="H342" s="148">
        <v>1.03</v>
      </c>
      <c r="I342" s="149">
        <v>517.21</v>
      </c>
      <c r="J342" s="149">
        <v>532.72</v>
      </c>
    </row>
    <row r="343" spans="1:10" ht="39.6" x14ac:dyDescent="0.25">
      <c r="A343" s="151"/>
      <c r="B343" s="151"/>
      <c r="C343" s="151"/>
      <c r="D343" s="151"/>
      <c r="E343" s="151" t="s">
        <v>405</v>
      </c>
      <c r="F343" s="150">
        <v>0</v>
      </c>
      <c r="G343" s="151" t="s">
        <v>406</v>
      </c>
      <c r="H343" s="150">
        <v>0</v>
      </c>
      <c r="I343" s="151" t="s">
        <v>407</v>
      </c>
      <c r="J343" s="150">
        <v>0</v>
      </c>
    </row>
    <row r="344" spans="1:10" ht="39.6" x14ac:dyDescent="0.25">
      <c r="A344" s="151"/>
      <c r="B344" s="151"/>
      <c r="C344" s="151"/>
      <c r="D344" s="151"/>
      <c r="E344" s="151" t="s">
        <v>408</v>
      </c>
      <c r="F344" s="150">
        <v>153.52990399999999</v>
      </c>
      <c r="G344" s="151"/>
      <c r="H344" s="195" t="s">
        <v>409</v>
      </c>
      <c r="I344" s="195"/>
      <c r="J344" s="150">
        <v>686.25</v>
      </c>
    </row>
    <row r="345" spans="1:10" ht="14.4" thickBot="1" x14ac:dyDescent="0.3">
      <c r="A345" s="95"/>
      <c r="B345" s="95"/>
      <c r="C345" s="95"/>
      <c r="D345" s="95"/>
      <c r="E345" s="95"/>
      <c r="F345" s="95"/>
      <c r="G345" s="95" t="s">
        <v>410</v>
      </c>
      <c r="H345" s="152">
        <v>5.84</v>
      </c>
      <c r="I345" s="95" t="s">
        <v>411</v>
      </c>
      <c r="J345" s="96">
        <v>4007.7</v>
      </c>
    </row>
    <row r="346" spans="1:10" ht="14.4" thickTop="1" x14ac:dyDescent="0.25">
      <c r="A346" s="153"/>
      <c r="B346" s="153"/>
      <c r="C346" s="153"/>
      <c r="D346" s="153"/>
      <c r="E346" s="153"/>
      <c r="F346" s="153"/>
      <c r="G346" s="153"/>
      <c r="H346" s="153"/>
      <c r="I346" s="153"/>
      <c r="J346" s="153"/>
    </row>
    <row r="347" spans="1:10" x14ac:dyDescent="0.25">
      <c r="A347" s="142" t="s">
        <v>214</v>
      </c>
      <c r="B347" s="142"/>
      <c r="C347" s="142"/>
      <c r="D347" s="142" t="s">
        <v>215</v>
      </c>
      <c r="E347" s="142"/>
      <c r="F347" s="198"/>
      <c r="G347" s="198"/>
      <c r="H347" s="73"/>
      <c r="I347" s="142"/>
      <c r="J347" s="74">
        <v>32317.62</v>
      </c>
    </row>
    <row r="348" spans="1:10" x14ac:dyDescent="0.25">
      <c r="A348" s="100" t="s">
        <v>216</v>
      </c>
      <c r="B348" s="99" t="s">
        <v>82</v>
      </c>
      <c r="C348" s="100" t="s">
        <v>83</v>
      </c>
      <c r="D348" s="100" t="s">
        <v>1</v>
      </c>
      <c r="E348" s="193" t="s">
        <v>97</v>
      </c>
      <c r="F348" s="193"/>
      <c r="G348" s="101" t="s">
        <v>2</v>
      </c>
      <c r="H348" s="99" t="s">
        <v>3</v>
      </c>
      <c r="I348" s="99" t="s">
        <v>84</v>
      </c>
      <c r="J348" s="99" t="s">
        <v>86</v>
      </c>
    </row>
    <row r="349" spans="1:10" ht="39.6" x14ac:dyDescent="0.25">
      <c r="A349" s="143" t="s">
        <v>385</v>
      </c>
      <c r="B349" s="52" t="s">
        <v>217</v>
      </c>
      <c r="C349" s="143" t="s">
        <v>87</v>
      </c>
      <c r="D349" s="143" t="s">
        <v>218</v>
      </c>
      <c r="E349" s="194" t="s">
        <v>442</v>
      </c>
      <c r="F349" s="194"/>
      <c r="G349" s="51" t="s">
        <v>19</v>
      </c>
      <c r="H349" s="144">
        <v>1</v>
      </c>
      <c r="I349" s="53">
        <v>57.47</v>
      </c>
      <c r="J349" s="53">
        <v>57.47</v>
      </c>
    </row>
    <row r="350" spans="1:10" ht="39.6" x14ac:dyDescent="0.25">
      <c r="A350" s="155" t="s">
        <v>413</v>
      </c>
      <c r="B350" s="154" t="s">
        <v>646</v>
      </c>
      <c r="C350" s="155" t="s">
        <v>87</v>
      </c>
      <c r="D350" s="155" t="s">
        <v>647</v>
      </c>
      <c r="E350" s="196" t="s">
        <v>489</v>
      </c>
      <c r="F350" s="196"/>
      <c r="G350" s="156" t="s">
        <v>490</v>
      </c>
      <c r="H350" s="157">
        <v>0.48599999999999999</v>
      </c>
      <c r="I350" s="158">
        <v>27.39</v>
      </c>
      <c r="J350" s="158">
        <v>13.31</v>
      </c>
    </row>
    <row r="351" spans="1:10" ht="39.6" x14ac:dyDescent="0.25">
      <c r="A351" s="155" t="s">
        <v>413</v>
      </c>
      <c r="B351" s="154" t="s">
        <v>510</v>
      </c>
      <c r="C351" s="155" t="s">
        <v>87</v>
      </c>
      <c r="D351" s="155" t="s">
        <v>511</v>
      </c>
      <c r="E351" s="196" t="s">
        <v>489</v>
      </c>
      <c r="F351" s="196"/>
      <c r="G351" s="156" t="s">
        <v>490</v>
      </c>
      <c r="H351" s="157">
        <v>0.66500000000000004</v>
      </c>
      <c r="I351" s="158">
        <v>23.71</v>
      </c>
      <c r="J351" s="158">
        <v>15.76</v>
      </c>
    </row>
    <row r="352" spans="1:10" ht="39.6" x14ac:dyDescent="0.25">
      <c r="A352" s="155" t="s">
        <v>413</v>
      </c>
      <c r="B352" s="154" t="s">
        <v>689</v>
      </c>
      <c r="C352" s="155" t="s">
        <v>87</v>
      </c>
      <c r="D352" s="155" t="s">
        <v>690</v>
      </c>
      <c r="E352" s="196" t="s">
        <v>442</v>
      </c>
      <c r="F352" s="196"/>
      <c r="G352" s="156" t="s">
        <v>28</v>
      </c>
      <c r="H352" s="157">
        <v>1.36</v>
      </c>
      <c r="I352" s="158">
        <v>9.4499999999999993</v>
      </c>
      <c r="J352" s="158">
        <v>12.85</v>
      </c>
    </row>
    <row r="353" spans="1:10" ht="39.6" x14ac:dyDescent="0.25">
      <c r="A353" s="155" t="s">
        <v>413</v>
      </c>
      <c r="B353" s="154" t="s">
        <v>691</v>
      </c>
      <c r="C353" s="155" t="s">
        <v>87</v>
      </c>
      <c r="D353" s="155" t="s">
        <v>692</v>
      </c>
      <c r="E353" s="196" t="s">
        <v>442</v>
      </c>
      <c r="F353" s="196"/>
      <c r="G353" s="156" t="s">
        <v>13</v>
      </c>
      <c r="H353" s="157">
        <v>4.2999999999999997E-2</v>
      </c>
      <c r="I353" s="158">
        <v>361.83</v>
      </c>
      <c r="J353" s="158">
        <v>15.55</v>
      </c>
    </row>
    <row r="354" spans="1:10" ht="39.6" x14ac:dyDescent="0.25">
      <c r="A354" s="151"/>
      <c r="B354" s="151"/>
      <c r="C354" s="151"/>
      <c r="D354" s="151"/>
      <c r="E354" s="151" t="s">
        <v>405</v>
      </c>
      <c r="F354" s="150">
        <v>22.93</v>
      </c>
      <c r="G354" s="151" t="s">
        <v>406</v>
      </c>
      <c r="H354" s="150">
        <v>0</v>
      </c>
      <c r="I354" s="151" t="s">
        <v>407</v>
      </c>
      <c r="J354" s="150">
        <v>22.93</v>
      </c>
    </row>
    <row r="355" spans="1:10" ht="39.6" x14ac:dyDescent="0.25">
      <c r="A355" s="151"/>
      <c r="B355" s="151"/>
      <c r="C355" s="151"/>
      <c r="D355" s="151"/>
      <c r="E355" s="151" t="s">
        <v>408</v>
      </c>
      <c r="F355" s="150">
        <v>16.562854000000002</v>
      </c>
      <c r="G355" s="151"/>
      <c r="H355" s="195" t="s">
        <v>409</v>
      </c>
      <c r="I355" s="195"/>
      <c r="J355" s="150">
        <v>74.03</v>
      </c>
    </row>
    <row r="356" spans="1:10" ht="14.4" thickBot="1" x14ac:dyDescent="0.3">
      <c r="A356" s="95"/>
      <c r="B356" s="95"/>
      <c r="C356" s="95"/>
      <c r="D356" s="95"/>
      <c r="E356" s="95"/>
      <c r="F356" s="95"/>
      <c r="G356" s="95" t="s">
        <v>410</v>
      </c>
      <c r="H356" s="152">
        <v>24</v>
      </c>
      <c r="I356" s="95" t="s">
        <v>411</v>
      </c>
      <c r="J356" s="96">
        <v>1776.72</v>
      </c>
    </row>
    <row r="357" spans="1:10" ht="14.4" thickTop="1" x14ac:dyDescent="0.25">
      <c r="A357" s="153"/>
      <c r="B357" s="153"/>
      <c r="C357" s="153"/>
      <c r="D357" s="153"/>
      <c r="E357" s="153"/>
      <c r="F357" s="153"/>
      <c r="G357" s="153"/>
      <c r="H357" s="153"/>
      <c r="I357" s="153"/>
      <c r="J357" s="153"/>
    </row>
    <row r="358" spans="1:10" x14ac:dyDescent="0.25">
      <c r="A358" s="100" t="s">
        <v>219</v>
      </c>
      <c r="B358" s="99" t="s">
        <v>82</v>
      </c>
      <c r="C358" s="100" t="s">
        <v>83</v>
      </c>
      <c r="D358" s="100" t="s">
        <v>1</v>
      </c>
      <c r="E358" s="193" t="s">
        <v>97</v>
      </c>
      <c r="F358" s="193"/>
      <c r="G358" s="101" t="s">
        <v>2</v>
      </c>
      <c r="H358" s="99" t="s">
        <v>3</v>
      </c>
      <c r="I358" s="99" t="s">
        <v>84</v>
      </c>
      <c r="J358" s="99" t="s">
        <v>86</v>
      </c>
    </row>
    <row r="359" spans="1:10" ht="26.4" x14ac:dyDescent="0.25">
      <c r="A359" s="143" t="s">
        <v>385</v>
      </c>
      <c r="B359" s="52" t="s">
        <v>220</v>
      </c>
      <c r="C359" s="143" t="s">
        <v>1373</v>
      </c>
      <c r="D359" s="143" t="s">
        <v>221</v>
      </c>
      <c r="E359" s="194">
        <v>9.02</v>
      </c>
      <c r="F359" s="194"/>
      <c r="G359" s="51" t="s">
        <v>6</v>
      </c>
      <c r="H359" s="144">
        <v>1</v>
      </c>
      <c r="I359" s="53">
        <v>141.32</v>
      </c>
      <c r="J359" s="53">
        <v>141.32</v>
      </c>
    </row>
    <row r="360" spans="1:10" ht="39.6" x14ac:dyDescent="0.25">
      <c r="A360" s="146" t="s">
        <v>386</v>
      </c>
      <c r="B360" s="145" t="s">
        <v>695</v>
      </c>
      <c r="C360" s="146" t="s">
        <v>1373</v>
      </c>
      <c r="D360" s="146" t="s">
        <v>696</v>
      </c>
      <c r="E360" s="197" t="s">
        <v>395</v>
      </c>
      <c r="F360" s="197"/>
      <c r="G360" s="147" t="s">
        <v>400</v>
      </c>
      <c r="H360" s="148">
        <v>2.5499999999999998</v>
      </c>
      <c r="I360" s="149">
        <v>4.42</v>
      </c>
      <c r="J360" s="149">
        <v>11.27</v>
      </c>
    </row>
    <row r="361" spans="1:10" ht="39.6" x14ac:dyDescent="0.25">
      <c r="A361" s="146" t="s">
        <v>386</v>
      </c>
      <c r="B361" s="145" t="s">
        <v>387</v>
      </c>
      <c r="C361" s="146" t="s">
        <v>1373</v>
      </c>
      <c r="D361" s="146" t="s">
        <v>388</v>
      </c>
      <c r="E361" s="197" t="s">
        <v>389</v>
      </c>
      <c r="F361" s="197"/>
      <c r="G361" s="147" t="s">
        <v>390</v>
      </c>
      <c r="H361" s="148">
        <v>1.35</v>
      </c>
      <c r="I361" s="149">
        <v>20.53</v>
      </c>
      <c r="J361" s="149">
        <v>27.71</v>
      </c>
    </row>
    <row r="362" spans="1:10" ht="39.6" x14ac:dyDescent="0.25">
      <c r="A362" s="146" t="s">
        <v>386</v>
      </c>
      <c r="B362" s="145" t="s">
        <v>697</v>
      </c>
      <c r="C362" s="146" t="s">
        <v>1373</v>
      </c>
      <c r="D362" s="146" t="s">
        <v>698</v>
      </c>
      <c r="E362" s="197" t="s">
        <v>395</v>
      </c>
      <c r="F362" s="197"/>
      <c r="G362" s="147" t="s">
        <v>6</v>
      </c>
      <c r="H362" s="148">
        <v>0.43</v>
      </c>
      <c r="I362" s="149">
        <v>85.45</v>
      </c>
      <c r="J362" s="149">
        <v>36.74</v>
      </c>
    </row>
    <row r="363" spans="1:10" ht="39.6" x14ac:dyDescent="0.25">
      <c r="A363" s="146" t="s">
        <v>386</v>
      </c>
      <c r="B363" s="145" t="s">
        <v>391</v>
      </c>
      <c r="C363" s="146" t="s">
        <v>1373</v>
      </c>
      <c r="D363" s="146" t="s">
        <v>392</v>
      </c>
      <c r="E363" s="197" t="s">
        <v>389</v>
      </c>
      <c r="F363" s="197"/>
      <c r="G363" s="147" t="s">
        <v>390</v>
      </c>
      <c r="H363" s="148">
        <v>1.35</v>
      </c>
      <c r="I363" s="149">
        <v>16.87</v>
      </c>
      <c r="J363" s="149">
        <v>22.77</v>
      </c>
    </row>
    <row r="364" spans="1:10" ht="39.6" x14ac:dyDescent="0.25">
      <c r="A364" s="146" t="s">
        <v>386</v>
      </c>
      <c r="B364" s="145" t="s">
        <v>693</v>
      </c>
      <c r="C364" s="146" t="s">
        <v>1373</v>
      </c>
      <c r="D364" s="146" t="s">
        <v>694</v>
      </c>
      <c r="E364" s="197" t="s">
        <v>395</v>
      </c>
      <c r="F364" s="197"/>
      <c r="G364" s="147" t="s">
        <v>6</v>
      </c>
      <c r="H364" s="148">
        <v>0.35</v>
      </c>
      <c r="I364" s="149">
        <v>109.38</v>
      </c>
      <c r="J364" s="149">
        <v>38.28</v>
      </c>
    </row>
    <row r="365" spans="1:10" ht="39.6" x14ac:dyDescent="0.25">
      <c r="A365" s="146" t="s">
        <v>386</v>
      </c>
      <c r="B365" s="145" t="s">
        <v>393</v>
      </c>
      <c r="C365" s="146" t="s">
        <v>1373</v>
      </c>
      <c r="D365" s="146" t="s">
        <v>394</v>
      </c>
      <c r="E365" s="197" t="s">
        <v>395</v>
      </c>
      <c r="F365" s="197"/>
      <c r="G365" s="147" t="s">
        <v>118</v>
      </c>
      <c r="H365" s="148">
        <v>0.3</v>
      </c>
      <c r="I365" s="149">
        <v>14.8</v>
      </c>
      <c r="J365" s="149">
        <v>4.4400000000000004</v>
      </c>
    </row>
    <row r="366" spans="1:10" ht="39.6" x14ac:dyDescent="0.25">
      <c r="A366" s="146" t="s">
        <v>386</v>
      </c>
      <c r="B366" s="145" t="s">
        <v>699</v>
      </c>
      <c r="C366" s="146" t="s">
        <v>1373</v>
      </c>
      <c r="D366" s="146" t="s">
        <v>700</v>
      </c>
      <c r="E366" s="197" t="s">
        <v>395</v>
      </c>
      <c r="F366" s="197"/>
      <c r="G366" s="147" t="s">
        <v>701</v>
      </c>
      <c r="H366" s="148">
        <v>0.01</v>
      </c>
      <c r="I366" s="149">
        <v>11.49</v>
      </c>
      <c r="J366" s="149">
        <v>0.11</v>
      </c>
    </row>
    <row r="367" spans="1:10" ht="39.6" x14ac:dyDescent="0.25">
      <c r="A367" s="151"/>
      <c r="B367" s="151"/>
      <c r="C367" s="151"/>
      <c r="D367" s="151"/>
      <c r="E367" s="151" t="s">
        <v>405</v>
      </c>
      <c r="F367" s="150">
        <v>50.48</v>
      </c>
      <c r="G367" s="151" t="s">
        <v>406</v>
      </c>
      <c r="H367" s="150">
        <v>0</v>
      </c>
      <c r="I367" s="151" t="s">
        <v>407</v>
      </c>
      <c r="J367" s="150">
        <v>50.48</v>
      </c>
    </row>
    <row r="368" spans="1:10" ht="39.6" x14ac:dyDescent="0.25">
      <c r="A368" s="151"/>
      <c r="B368" s="151"/>
      <c r="C368" s="151"/>
      <c r="D368" s="151"/>
      <c r="E368" s="151" t="s">
        <v>408</v>
      </c>
      <c r="F368" s="150">
        <v>40.728423999999997</v>
      </c>
      <c r="G368" s="151"/>
      <c r="H368" s="195" t="s">
        <v>409</v>
      </c>
      <c r="I368" s="195"/>
      <c r="J368" s="150">
        <v>182.05</v>
      </c>
    </row>
    <row r="369" spans="1:10" ht="14.4" thickBot="1" x14ac:dyDescent="0.3">
      <c r="A369" s="95"/>
      <c r="B369" s="95"/>
      <c r="C369" s="95"/>
      <c r="D369" s="95"/>
      <c r="E369" s="95"/>
      <c r="F369" s="95"/>
      <c r="G369" s="95" t="s">
        <v>410</v>
      </c>
      <c r="H369" s="152">
        <v>18</v>
      </c>
      <c r="I369" s="95" t="s">
        <v>411</v>
      </c>
      <c r="J369" s="96">
        <v>3276.9</v>
      </c>
    </row>
    <row r="370" spans="1:10" ht="14.4" thickTop="1" x14ac:dyDescent="0.25">
      <c r="A370" s="153"/>
      <c r="B370" s="153"/>
      <c r="C370" s="153"/>
      <c r="D370" s="153"/>
      <c r="E370" s="153"/>
      <c r="F370" s="153"/>
      <c r="G370" s="153"/>
      <c r="H370" s="153"/>
      <c r="I370" s="153"/>
      <c r="J370" s="153"/>
    </row>
    <row r="371" spans="1:10" x14ac:dyDescent="0.25">
      <c r="A371" s="100" t="s">
        <v>222</v>
      </c>
      <c r="B371" s="99" t="s">
        <v>82</v>
      </c>
      <c r="C371" s="100" t="s">
        <v>83</v>
      </c>
      <c r="D371" s="100" t="s">
        <v>1</v>
      </c>
      <c r="E371" s="193" t="s">
        <v>97</v>
      </c>
      <c r="F371" s="193"/>
      <c r="G371" s="101" t="s">
        <v>2</v>
      </c>
      <c r="H371" s="99" t="s">
        <v>3</v>
      </c>
      <c r="I371" s="99" t="s">
        <v>84</v>
      </c>
      <c r="J371" s="99" t="s">
        <v>86</v>
      </c>
    </row>
    <row r="372" spans="1:10" ht="26.4" x14ac:dyDescent="0.25">
      <c r="A372" s="143" t="s">
        <v>385</v>
      </c>
      <c r="B372" s="52" t="s">
        <v>327</v>
      </c>
      <c r="C372" s="143" t="s">
        <v>87</v>
      </c>
      <c r="D372" s="143" t="s">
        <v>328</v>
      </c>
      <c r="E372" s="194" t="s">
        <v>442</v>
      </c>
      <c r="F372" s="194"/>
      <c r="G372" s="51" t="s">
        <v>28</v>
      </c>
      <c r="H372" s="144">
        <v>1</v>
      </c>
      <c r="I372" s="53">
        <v>9.76</v>
      </c>
      <c r="J372" s="53">
        <v>9.76</v>
      </c>
    </row>
    <row r="373" spans="1:10" ht="39.6" x14ac:dyDescent="0.25">
      <c r="A373" s="155" t="s">
        <v>413</v>
      </c>
      <c r="B373" s="154" t="s">
        <v>702</v>
      </c>
      <c r="C373" s="155" t="s">
        <v>87</v>
      </c>
      <c r="D373" s="155" t="s">
        <v>703</v>
      </c>
      <c r="E373" s="196" t="s">
        <v>489</v>
      </c>
      <c r="F373" s="196"/>
      <c r="G373" s="156" t="s">
        <v>490</v>
      </c>
      <c r="H373" s="157">
        <v>5.8999999999999999E-3</v>
      </c>
      <c r="I373" s="158">
        <v>23.72</v>
      </c>
      <c r="J373" s="158">
        <v>0.13</v>
      </c>
    </row>
    <row r="374" spans="1:10" ht="39.6" x14ac:dyDescent="0.25">
      <c r="A374" s="155" t="s">
        <v>413</v>
      </c>
      <c r="B374" s="154" t="s">
        <v>704</v>
      </c>
      <c r="C374" s="155" t="s">
        <v>87</v>
      </c>
      <c r="D374" s="155" t="s">
        <v>705</v>
      </c>
      <c r="E374" s="196" t="s">
        <v>489</v>
      </c>
      <c r="F374" s="196"/>
      <c r="G374" s="156" t="s">
        <v>490</v>
      </c>
      <c r="H374" s="157">
        <v>4.2000000000000003E-2</v>
      </c>
      <c r="I374" s="158">
        <v>27.2</v>
      </c>
      <c r="J374" s="158">
        <v>1.1399999999999999</v>
      </c>
    </row>
    <row r="375" spans="1:10" x14ac:dyDescent="0.25">
      <c r="A375" s="146" t="s">
        <v>386</v>
      </c>
      <c r="B375" s="145" t="s">
        <v>706</v>
      </c>
      <c r="C375" s="146" t="s">
        <v>87</v>
      </c>
      <c r="D375" s="146" t="s">
        <v>707</v>
      </c>
      <c r="E375" s="197" t="s">
        <v>395</v>
      </c>
      <c r="F375" s="197"/>
      <c r="G375" s="147" t="s">
        <v>28</v>
      </c>
      <c r="H375" s="148">
        <v>1.07</v>
      </c>
      <c r="I375" s="149">
        <v>7.94</v>
      </c>
      <c r="J375" s="149">
        <v>8.49</v>
      </c>
    </row>
    <row r="376" spans="1:10" ht="39.6" x14ac:dyDescent="0.25">
      <c r="A376" s="151"/>
      <c r="B376" s="151"/>
      <c r="C376" s="151"/>
      <c r="D376" s="151"/>
      <c r="E376" s="151" t="s">
        <v>405</v>
      </c>
      <c r="F376" s="150">
        <v>0.9</v>
      </c>
      <c r="G376" s="151" t="s">
        <v>406</v>
      </c>
      <c r="H376" s="150">
        <v>0</v>
      </c>
      <c r="I376" s="151" t="s">
        <v>407</v>
      </c>
      <c r="J376" s="150">
        <v>0.9</v>
      </c>
    </row>
    <row r="377" spans="1:10" ht="39.6" x14ac:dyDescent="0.25">
      <c r="A377" s="151"/>
      <c r="B377" s="151"/>
      <c r="C377" s="151"/>
      <c r="D377" s="151"/>
      <c r="E377" s="151" t="s">
        <v>408</v>
      </c>
      <c r="F377" s="150">
        <v>2.8128320000000002</v>
      </c>
      <c r="G377" s="151"/>
      <c r="H377" s="195" t="s">
        <v>409</v>
      </c>
      <c r="I377" s="195"/>
      <c r="J377" s="150">
        <v>12.57</v>
      </c>
    </row>
    <row r="378" spans="1:10" ht="14.4" thickBot="1" x14ac:dyDescent="0.3">
      <c r="A378" s="95"/>
      <c r="B378" s="95"/>
      <c r="C378" s="95"/>
      <c r="D378" s="95"/>
      <c r="E378" s="95"/>
      <c r="F378" s="95"/>
      <c r="G378" s="95" t="s">
        <v>410</v>
      </c>
      <c r="H378" s="152">
        <v>109.76</v>
      </c>
      <c r="I378" s="95" t="s">
        <v>411</v>
      </c>
      <c r="J378" s="96">
        <v>1379.68</v>
      </c>
    </row>
    <row r="379" spans="1:10" ht="14.4" thickTop="1" x14ac:dyDescent="0.25">
      <c r="A379" s="153"/>
      <c r="B379" s="153"/>
      <c r="C379" s="153"/>
      <c r="D379" s="153"/>
      <c r="E379" s="153"/>
      <c r="F379" s="153"/>
      <c r="G379" s="153"/>
      <c r="H379" s="153"/>
      <c r="I379" s="153"/>
      <c r="J379" s="153"/>
    </row>
    <row r="380" spans="1:10" x14ac:dyDescent="0.25">
      <c r="A380" s="100" t="s">
        <v>223</v>
      </c>
      <c r="B380" s="99" t="s">
        <v>82</v>
      </c>
      <c r="C380" s="100" t="s">
        <v>83</v>
      </c>
      <c r="D380" s="100" t="s">
        <v>1</v>
      </c>
      <c r="E380" s="193" t="s">
        <v>97</v>
      </c>
      <c r="F380" s="193"/>
      <c r="G380" s="101" t="s">
        <v>2</v>
      </c>
      <c r="H380" s="99" t="s">
        <v>3</v>
      </c>
      <c r="I380" s="99" t="s">
        <v>84</v>
      </c>
      <c r="J380" s="99" t="s">
        <v>86</v>
      </c>
    </row>
    <row r="381" spans="1:10" ht="26.4" x14ac:dyDescent="0.25">
      <c r="A381" s="143" t="s">
        <v>385</v>
      </c>
      <c r="B381" s="52" t="s">
        <v>329</v>
      </c>
      <c r="C381" s="143" t="s">
        <v>87</v>
      </c>
      <c r="D381" s="143" t="s">
        <v>330</v>
      </c>
      <c r="E381" s="194" t="s">
        <v>442</v>
      </c>
      <c r="F381" s="194"/>
      <c r="G381" s="51" t="s">
        <v>28</v>
      </c>
      <c r="H381" s="144">
        <v>1</v>
      </c>
      <c r="I381" s="53">
        <v>9.48</v>
      </c>
      <c r="J381" s="53">
        <v>9.48</v>
      </c>
    </row>
    <row r="382" spans="1:10" ht="39.6" x14ac:dyDescent="0.25">
      <c r="A382" s="155" t="s">
        <v>413</v>
      </c>
      <c r="B382" s="154" t="s">
        <v>702</v>
      </c>
      <c r="C382" s="155" t="s">
        <v>87</v>
      </c>
      <c r="D382" s="155" t="s">
        <v>703</v>
      </c>
      <c r="E382" s="196" t="s">
        <v>489</v>
      </c>
      <c r="F382" s="196"/>
      <c r="G382" s="156" t="s">
        <v>490</v>
      </c>
      <c r="H382" s="157">
        <v>3.2000000000000002E-3</v>
      </c>
      <c r="I382" s="158">
        <v>23.72</v>
      </c>
      <c r="J382" s="158">
        <v>7.0000000000000007E-2</v>
      </c>
    </row>
    <row r="383" spans="1:10" ht="39.6" x14ac:dyDescent="0.25">
      <c r="A383" s="155" t="s">
        <v>413</v>
      </c>
      <c r="B383" s="154" t="s">
        <v>704</v>
      </c>
      <c r="C383" s="155" t="s">
        <v>87</v>
      </c>
      <c r="D383" s="155" t="s">
        <v>705</v>
      </c>
      <c r="E383" s="196" t="s">
        <v>489</v>
      </c>
      <c r="F383" s="196"/>
      <c r="G383" s="156" t="s">
        <v>490</v>
      </c>
      <c r="H383" s="157">
        <v>2.24E-2</v>
      </c>
      <c r="I383" s="158">
        <v>27.2</v>
      </c>
      <c r="J383" s="158">
        <v>0.6</v>
      </c>
    </row>
    <row r="384" spans="1:10" x14ac:dyDescent="0.25">
      <c r="A384" s="146" t="s">
        <v>386</v>
      </c>
      <c r="B384" s="145" t="s">
        <v>706</v>
      </c>
      <c r="C384" s="146" t="s">
        <v>87</v>
      </c>
      <c r="D384" s="146" t="s">
        <v>707</v>
      </c>
      <c r="E384" s="197" t="s">
        <v>395</v>
      </c>
      <c r="F384" s="197"/>
      <c r="G384" s="147" t="s">
        <v>28</v>
      </c>
      <c r="H384" s="148">
        <v>1.1100000000000001</v>
      </c>
      <c r="I384" s="149">
        <v>7.94</v>
      </c>
      <c r="J384" s="149">
        <v>8.81</v>
      </c>
    </row>
    <row r="385" spans="1:10" ht="39.6" x14ac:dyDescent="0.25">
      <c r="A385" s="151"/>
      <c r="B385" s="151"/>
      <c r="C385" s="151"/>
      <c r="D385" s="151"/>
      <c r="E385" s="151" t="s">
        <v>405</v>
      </c>
      <c r="F385" s="150">
        <v>0.48</v>
      </c>
      <c r="G385" s="151" t="s">
        <v>406</v>
      </c>
      <c r="H385" s="150">
        <v>0</v>
      </c>
      <c r="I385" s="151" t="s">
        <v>407</v>
      </c>
      <c r="J385" s="150">
        <v>0.48</v>
      </c>
    </row>
    <row r="386" spans="1:10" ht="39.6" x14ac:dyDescent="0.25">
      <c r="A386" s="151"/>
      <c r="B386" s="151"/>
      <c r="C386" s="151"/>
      <c r="D386" s="151"/>
      <c r="E386" s="151" t="s">
        <v>408</v>
      </c>
      <c r="F386" s="150">
        <v>2.7321360000000001</v>
      </c>
      <c r="G386" s="151"/>
      <c r="H386" s="195" t="s">
        <v>409</v>
      </c>
      <c r="I386" s="195"/>
      <c r="J386" s="150">
        <v>12.21</v>
      </c>
    </row>
    <row r="387" spans="1:10" ht="14.4" thickBot="1" x14ac:dyDescent="0.3">
      <c r="A387" s="95"/>
      <c r="B387" s="95"/>
      <c r="C387" s="95"/>
      <c r="D387" s="95"/>
      <c r="E387" s="95"/>
      <c r="F387" s="95"/>
      <c r="G387" s="95" t="s">
        <v>410</v>
      </c>
      <c r="H387" s="152">
        <v>99.26</v>
      </c>
      <c r="I387" s="95" t="s">
        <v>411</v>
      </c>
      <c r="J387" s="96">
        <v>1211.96</v>
      </c>
    </row>
    <row r="388" spans="1:10" ht="14.4" thickTop="1" x14ac:dyDescent="0.25">
      <c r="A388" s="153"/>
      <c r="B388" s="153"/>
      <c r="C388" s="153"/>
      <c r="D388" s="153"/>
      <c r="E388" s="153"/>
      <c r="F388" s="153"/>
      <c r="G388" s="153"/>
      <c r="H388" s="153"/>
      <c r="I388" s="153"/>
      <c r="J388" s="153"/>
    </row>
    <row r="389" spans="1:10" x14ac:dyDescent="0.25">
      <c r="A389" s="100" t="s">
        <v>224</v>
      </c>
      <c r="B389" s="99" t="s">
        <v>82</v>
      </c>
      <c r="C389" s="100" t="s">
        <v>83</v>
      </c>
      <c r="D389" s="100" t="s">
        <v>1</v>
      </c>
      <c r="E389" s="193" t="s">
        <v>97</v>
      </c>
      <c r="F389" s="193"/>
      <c r="G389" s="101" t="s">
        <v>2</v>
      </c>
      <c r="H389" s="99" t="s">
        <v>3</v>
      </c>
      <c r="I389" s="99" t="s">
        <v>84</v>
      </c>
      <c r="J389" s="99" t="s">
        <v>86</v>
      </c>
    </row>
    <row r="390" spans="1:10" ht="26.4" x14ac:dyDescent="0.25">
      <c r="A390" s="143" t="s">
        <v>385</v>
      </c>
      <c r="B390" s="52" t="s">
        <v>331</v>
      </c>
      <c r="C390" s="143" t="s">
        <v>87</v>
      </c>
      <c r="D390" s="143" t="s">
        <v>332</v>
      </c>
      <c r="E390" s="194" t="s">
        <v>442</v>
      </c>
      <c r="F390" s="194"/>
      <c r="G390" s="51" t="s">
        <v>28</v>
      </c>
      <c r="H390" s="144">
        <v>1</v>
      </c>
      <c r="I390" s="53">
        <v>10.24</v>
      </c>
      <c r="J390" s="53">
        <v>10.24</v>
      </c>
    </row>
    <row r="391" spans="1:10" ht="39.6" x14ac:dyDescent="0.25">
      <c r="A391" s="155" t="s">
        <v>413</v>
      </c>
      <c r="B391" s="154" t="s">
        <v>702</v>
      </c>
      <c r="C391" s="155" t="s">
        <v>87</v>
      </c>
      <c r="D391" s="155" t="s">
        <v>703</v>
      </c>
      <c r="E391" s="196" t="s">
        <v>489</v>
      </c>
      <c r="F391" s="196"/>
      <c r="G391" s="156" t="s">
        <v>490</v>
      </c>
      <c r="H391" s="157">
        <v>1.8E-3</v>
      </c>
      <c r="I391" s="158">
        <v>23.72</v>
      </c>
      <c r="J391" s="158">
        <v>0.04</v>
      </c>
    </row>
    <row r="392" spans="1:10" ht="39.6" x14ac:dyDescent="0.25">
      <c r="A392" s="155" t="s">
        <v>413</v>
      </c>
      <c r="B392" s="154" t="s">
        <v>704</v>
      </c>
      <c r="C392" s="155" t="s">
        <v>87</v>
      </c>
      <c r="D392" s="155" t="s">
        <v>705</v>
      </c>
      <c r="E392" s="196" t="s">
        <v>489</v>
      </c>
      <c r="F392" s="196"/>
      <c r="G392" s="156" t="s">
        <v>490</v>
      </c>
      <c r="H392" s="157">
        <v>1.2500000000000001E-2</v>
      </c>
      <c r="I392" s="158">
        <v>27.2</v>
      </c>
      <c r="J392" s="158">
        <v>0.34</v>
      </c>
    </row>
    <row r="393" spans="1:10" ht="26.4" x14ac:dyDescent="0.25">
      <c r="A393" s="146" t="s">
        <v>386</v>
      </c>
      <c r="B393" s="145" t="s">
        <v>708</v>
      </c>
      <c r="C393" s="146" t="s">
        <v>87</v>
      </c>
      <c r="D393" s="146" t="s">
        <v>709</v>
      </c>
      <c r="E393" s="197" t="s">
        <v>395</v>
      </c>
      <c r="F393" s="197"/>
      <c r="G393" s="147" t="s">
        <v>28</v>
      </c>
      <c r="H393" s="148">
        <v>1.1100000000000001</v>
      </c>
      <c r="I393" s="149">
        <v>8.89</v>
      </c>
      <c r="J393" s="149">
        <v>9.86</v>
      </c>
    </row>
    <row r="394" spans="1:10" ht="39.6" x14ac:dyDescent="0.25">
      <c r="A394" s="151"/>
      <c r="B394" s="151"/>
      <c r="C394" s="151"/>
      <c r="D394" s="151"/>
      <c r="E394" s="151" t="s">
        <v>405</v>
      </c>
      <c r="F394" s="150">
        <v>0.26</v>
      </c>
      <c r="G394" s="151" t="s">
        <v>406</v>
      </c>
      <c r="H394" s="150">
        <v>0</v>
      </c>
      <c r="I394" s="151" t="s">
        <v>407</v>
      </c>
      <c r="J394" s="150">
        <v>0.26</v>
      </c>
    </row>
    <row r="395" spans="1:10" ht="39.6" x14ac:dyDescent="0.25">
      <c r="A395" s="151"/>
      <c r="B395" s="151"/>
      <c r="C395" s="151"/>
      <c r="D395" s="151"/>
      <c r="E395" s="151" t="s">
        <v>408</v>
      </c>
      <c r="F395" s="150">
        <v>2.951168</v>
      </c>
      <c r="G395" s="151"/>
      <c r="H395" s="195" t="s">
        <v>409</v>
      </c>
      <c r="I395" s="195"/>
      <c r="J395" s="150">
        <v>13.19</v>
      </c>
    </row>
    <row r="396" spans="1:10" ht="14.4" thickBot="1" x14ac:dyDescent="0.3">
      <c r="A396" s="95"/>
      <c r="B396" s="95"/>
      <c r="C396" s="95"/>
      <c r="D396" s="95"/>
      <c r="E396" s="95"/>
      <c r="F396" s="95"/>
      <c r="G396" s="95" t="s">
        <v>410</v>
      </c>
      <c r="H396" s="152">
        <v>236.19</v>
      </c>
      <c r="I396" s="95" t="s">
        <v>411</v>
      </c>
      <c r="J396" s="96">
        <v>3115.35</v>
      </c>
    </row>
    <row r="397" spans="1:10" ht="14.4" thickTop="1" x14ac:dyDescent="0.25">
      <c r="A397" s="153"/>
      <c r="B397" s="153"/>
      <c r="C397" s="153"/>
      <c r="D397" s="153"/>
      <c r="E397" s="153"/>
      <c r="F397" s="153"/>
      <c r="G397" s="153"/>
      <c r="H397" s="153"/>
      <c r="I397" s="153"/>
      <c r="J397" s="153"/>
    </row>
    <row r="398" spans="1:10" x14ac:dyDescent="0.25">
      <c r="A398" s="100" t="s">
        <v>227</v>
      </c>
      <c r="B398" s="99" t="s">
        <v>82</v>
      </c>
      <c r="C398" s="100" t="s">
        <v>83</v>
      </c>
      <c r="D398" s="100" t="s">
        <v>1</v>
      </c>
      <c r="E398" s="193" t="s">
        <v>97</v>
      </c>
      <c r="F398" s="193"/>
      <c r="G398" s="101" t="s">
        <v>2</v>
      </c>
      <c r="H398" s="99" t="s">
        <v>3</v>
      </c>
      <c r="I398" s="99" t="s">
        <v>84</v>
      </c>
      <c r="J398" s="99" t="s">
        <v>86</v>
      </c>
    </row>
    <row r="399" spans="1:10" ht="26.4" x14ac:dyDescent="0.25">
      <c r="A399" s="143" t="s">
        <v>385</v>
      </c>
      <c r="B399" s="52" t="s">
        <v>212</v>
      </c>
      <c r="C399" s="143" t="s">
        <v>1373</v>
      </c>
      <c r="D399" s="143" t="s">
        <v>213</v>
      </c>
      <c r="E399" s="194">
        <v>11.01</v>
      </c>
      <c r="F399" s="194"/>
      <c r="G399" s="51" t="s">
        <v>13</v>
      </c>
      <c r="H399" s="144">
        <v>1</v>
      </c>
      <c r="I399" s="53">
        <v>532.72</v>
      </c>
      <c r="J399" s="53">
        <v>532.72</v>
      </c>
    </row>
    <row r="400" spans="1:10" ht="39.6" x14ac:dyDescent="0.25">
      <c r="A400" s="146" t="s">
        <v>386</v>
      </c>
      <c r="B400" s="145" t="s">
        <v>687</v>
      </c>
      <c r="C400" s="146" t="s">
        <v>1373</v>
      </c>
      <c r="D400" s="146" t="s">
        <v>688</v>
      </c>
      <c r="E400" s="197" t="s">
        <v>395</v>
      </c>
      <c r="F400" s="197"/>
      <c r="G400" s="147" t="s">
        <v>13</v>
      </c>
      <c r="H400" s="148">
        <v>1.03</v>
      </c>
      <c r="I400" s="149">
        <v>517.21</v>
      </c>
      <c r="J400" s="149">
        <v>532.72</v>
      </c>
    </row>
    <row r="401" spans="1:10" ht="39.6" x14ac:dyDescent="0.25">
      <c r="A401" s="151"/>
      <c r="B401" s="151"/>
      <c r="C401" s="151"/>
      <c r="D401" s="151"/>
      <c r="E401" s="151" t="s">
        <v>405</v>
      </c>
      <c r="F401" s="150">
        <v>0</v>
      </c>
      <c r="G401" s="151" t="s">
        <v>406</v>
      </c>
      <c r="H401" s="150">
        <v>0</v>
      </c>
      <c r="I401" s="151" t="s">
        <v>407</v>
      </c>
      <c r="J401" s="150">
        <v>0</v>
      </c>
    </row>
    <row r="402" spans="1:10" ht="39.6" x14ac:dyDescent="0.25">
      <c r="A402" s="151"/>
      <c r="B402" s="151"/>
      <c r="C402" s="151"/>
      <c r="D402" s="151"/>
      <c r="E402" s="151" t="s">
        <v>408</v>
      </c>
      <c r="F402" s="150">
        <v>153.52990399999999</v>
      </c>
      <c r="G402" s="151"/>
      <c r="H402" s="195" t="s">
        <v>409</v>
      </c>
      <c r="I402" s="195"/>
      <c r="J402" s="150">
        <v>686.25</v>
      </c>
    </row>
    <row r="403" spans="1:10" ht="14.4" thickBot="1" x14ac:dyDescent="0.3">
      <c r="A403" s="95"/>
      <c r="B403" s="95"/>
      <c r="C403" s="95"/>
      <c r="D403" s="95"/>
      <c r="E403" s="95"/>
      <c r="F403" s="95"/>
      <c r="G403" s="95" t="s">
        <v>410</v>
      </c>
      <c r="H403" s="152">
        <v>12</v>
      </c>
      <c r="I403" s="95" t="s">
        <v>411</v>
      </c>
      <c r="J403" s="96">
        <v>8235</v>
      </c>
    </row>
    <row r="404" spans="1:10" ht="14.4" thickTop="1" x14ac:dyDescent="0.25">
      <c r="A404" s="153"/>
      <c r="B404" s="153"/>
      <c r="C404" s="153"/>
      <c r="D404" s="153"/>
      <c r="E404" s="153"/>
      <c r="F404" s="153"/>
      <c r="G404" s="153"/>
      <c r="H404" s="153"/>
      <c r="I404" s="153"/>
      <c r="J404" s="153"/>
    </row>
    <row r="405" spans="1:10" x14ac:dyDescent="0.25">
      <c r="A405" s="100" t="s">
        <v>230</v>
      </c>
      <c r="B405" s="99" t="s">
        <v>82</v>
      </c>
      <c r="C405" s="100" t="s">
        <v>83</v>
      </c>
      <c r="D405" s="100" t="s">
        <v>1</v>
      </c>
      <c r="E405" s="193" t="s">
        <v>97</v>
      </c>
      <c r="F405" s="193"/>
      <c r="G405" s="101" t="s">
        <v>2</v>
      </c>
      <c r="H405" s="99" t="s">
        <v>3</v>
      </c>
      <c r="I405" s="99" t="s">
        <v>84</v>
      </c>
      <c r="J405" s="99" t="s">
        <v>86</v>
      </c>
    </row>
    <row r="406" spans="1:10" ht="26.4" x14ac:dyDescent="0.25">
      <c r="A406" s="143" t="s">
        <v>385</v>
      </c>
      <c r="B406" s="52" t="s">
        <v>225</v>
      </c>
      <c r="C406" s="143" t="s">
        <v>1373</v>
      </c>
      <c r="D406" s="143" t="s">
        <v>226</v>
      </c>
      <c r="E406" s="194">
        <v>14.11</v>
      </c>
      <c r="F406" s="194"/>
      <c r="G406" s="51" t="s">
        <v>6</v>
      </c>
      <c r="H406" s="144">
        <v>1</v>
      </c>
      <c r="I406" s="53">
        <v>110.21</v>
      </c>
      <c r="J406" s="53">
        <v>110.21</v>
      </c>
    </row>
    <row r="407" spans="1:10" ht="39.6" x14ac:dyDescent="0.25">
      <c r="A407" s="146" t="s">
        <v>386</v>
      </c>
      <c r="B407" s="145" t="s">
        <v>396</v>
      </c>
      <c r="C407" s="146" t="s">
        <v>1373</v>
      </c>
      <c r="D407" s="146" t="s">
        <v>397</v>
      </c>
      <c r="E407" s="197" t="s">
        <v>395</v>
      </c>
      <c r="F407" s="197"/>
      <c r="G407" s="147" t="s">
        <v>118</v>
      </c>
      <c r="H407" s="148">
        <v>6.9</v>
      </c>
      <c r="I407" s="149">
        <v>0.64</v>
      </c>
      <c r="J407" s="149">
        <v>4.41</v>
      </c>
    </row>
    <row r="408" spans="1:10" ht="39.6" x14ac:dyDescent="0.25">
      <c r="A408" s="146" t="s">
        <v>386</v>
      </c>
      <c r="B408" s="145" t="s">
        <v>715</v>
      </c>
      <c r="C408" s="146" t="s">
        <v>1373</v>
      </c>
      <c r="D408" s="146" t="s">
        <v>716</v>
      </c>
      <c r="E408" s="197" t="s">
        <v>395</v>
      </c>
      <c r="F408" s="197"/>
      <c r="G408" s="147" t="s">
        <v>118</v>
      </c>
      <c r="H408" s="148">
        <v>0.87</v>
      </c>
      <c r="I408" s="149">
        <v>0.91</v>
      </c>
      <c r="J408" s="149">
        <v>0.79</v>
      </c>
    </row>
    <row r="409" spans="1:10" ht="39.6" x14ac:dyDescent="0.25">
      <c r="A409" s="146" t="s">
        <v>386</v>
      </c>
      <c r="B409" s="145" t="s">
        <v>712</v>
      </c>
      <c r="C409" s="146" t="s">
        <v>1373</v>
      </c>
      <c r="D409" s="146" t="s">
        <v>713</v>
      </c>
      <c r="E409" s="197" t="s">
        <v>395</v>
      </c>
      <c r="F409" s="197"/>
      <c r="G409" s="147" t="s">
        <v>714</v>
      </c>
      <c r="H409" s="148">
        <v>13</v>
      </c>
      <c r="I409" s="149">
        <v>5.25</v>
      </c>
      <c r="J409" s="149">
        <v>68.25</v>
      </c>
    </row>
    <row r="410" spans="1:10" ht="39.6" x14ac:dyDescent="0.25">
      <c r="A410" s="146" t="s">
        <v>386</v>
      </c>
      <c r="B410" s="145" t="s">
        <v>401</v>
      </c>
      <c r="C410" s="146" t="s">
        <v>1373</v>
      </c>
      <c r="D410" s="146" t="s">
        <v>402</v>
      </c>
      <c r="E410" s="197" t="s">
        <v>395</v>
      </c>
      <c r="F410" s="197"/>
      <c r="G410" s="147" t="s">
        <v>13</v>
      </c>
      <c r="H410" s="148">
        <v>1.7000000000000001E-2</v>
      </c>
      <c r="I410" s="149">
        <v>143.83000000000001</v>
      </c>
      <c r="J410" s="149">
        <v>2.44</v>
      </c>
    </row>
    <row r="411" spans="1:10" ht="39.6" x14ac:dyDescent="0.25">
      <c r="A411" s="146" t="s">
        <v>386</v>
      </c>
      <c r="B411" s="145" t="s">
        <v>597</v>
      </c>
      <c r="C411" s="146" t="s">
        <v>1373</v>
      </c>
      <c r="D411" s="146" t="s">
        <v>598</v>
      </c>
      <c r="E411" s="197" t="s">
        <v>389</v>
      </c>
      <c r="F411" s="197"/>
      <c r="G411" s="147" t="s">
        <v>390</v>
      </c>
      <c r="H411" s="148">
        <v>1</v>
      </c>
      <c r="I411" s="149">
        <v>16.87</v>
      </c>
      <c r="J411" s="149">
        <v>16.87</v>
      </c>
    </row>
    <row r="412" spans="1:10" ht="39.6" x14ac:dyDescent="0.25">
      <c r="A412" s="146" t="s">
        <v>386</v>
      </c>
      <c r="B412" s="145" t="s">
        <v>710</v>
      </c>
      <c r="C412" s="146" t="s">
        <v>1373</v>
      </c>
      <c r="D412" s="146" t="s">
        <v>711</v>
      </c>
      <c r="E412" s="197" t="s">
        <v>389</v>
      </c>
      <c r="F412" s="197"/>
      <c r="G412" s="147" t="s">
        <v>390</v>
      </c>
      <c r="H412" s="148">
        <v>0.85</v>
      </c>
      <c r="I412" s="149">
        <v>20.53</v>
      </c>
      <c r="J412" s="149">
        <v>17.45</v>
      </c>
    </row>
    <row r="413" spans="1:10" ht="39.6" x14ac:dyDescent="0.25">
      <c r="A413" s="151"/>
      <c r="B413" s="151"/>
      <c r="C413" s="151"/>
      <c r="D413" s="151"/>
      <c r="E413" s="151" t="s">
        <v>405</v>
      </c>
      <c r="F413" s="150">
        <v>34.32</v>
      </c>
      <c r="G413" s="151" t="s">
        <v>406</v>
      </c>
      <c r="H413" s="150">
        <v>0</v>
      </c>
      <c r="I413" s="151" t="s">
        <v>407</v>
      </c>
      <c r="J413" s="150">
        <v>34.32</v>
      </c>
    </row>
    <row r="414" spans="1:10" ht="39.6" x14ac:dyDescent="0.25">
      <c r="A414" s="151"/>
      <c r="B414" s="151"/>
      <c r="C414" s="151"/>
      <c r="D414" s="151"/>
      <c r="E414" s="151" t="s">
        <v>408</v>
      </c>
      <c r="F414" s="150">
        <v>31.762522000000001</v>
      </c>
      <c r="G414" s="151"/>
      <c r="H414" s="195" t="s">
        <v>409</v>
      </c>
      <c r="I414" s="195"/>
      <c r="J414" s="150">
        <v>141.97</v>
      </c>
    </row>
    <row r="415" spans="1:10" ht="14.4" thickBot="1" x14ac:dyDescent="0.3">
      <c r="A415" s="95"/>
      <c r="B415" s="95"/>
      <c r="C415" s="95"/>
      <c r="D415" s="95"/>
      <c r="E415" s="95"/>
      <c r="F415" s="95"/>
      <c r="G415" s="95" t="s">
        <v>410</v>
      </c>
      <c r="H415" s="152">
        <v>12</v>
      </c>
      <c r="I415" s="95" t="s">
        <v>411</v>
      </c>
      <c r="J415" s="96">
        <v>1703.64</v>
      </c>
    </row>
    <row r="416" spans="1:10" ht="14.4" thickTop="1" x14ac:dyDescent="0.25">
      <c r="A416" s="153"/>
      <c r="B416" s="153"/>
      <c r="C416" s="153"/>
      <c r="D416" s="153"/>
      <c r="E416" s="153"/>
      <c r="F416" s="153"/>
      <c r="G416" s="153"/>
      <c r="H416" s="153"/>
      <c r="I416" s="153"/>
      <c r="J416" s="153"/>
    </row>
    <row r="417" spans="1:10" x14ac:dyDescent="0.25">
      <c r="A417" s="100" t="s">
        <v>233</v>
      </c>
      <c r="B417" s="99" t="s">
        <v>82</v>
      </c>
      <c r="C417" s="100" t="s">
        <v>83</v>
      </c>
      <c r="D417" s="100" t="s">
        <v>1</v>
      </c>
      <c r="E417" s="193" t="s">
        <v>97</v>
      </c>
      <c r="F417" s="193"/>
      <c r="G417" s="101" t="s">
        <v>2</v>
      </c>
      <c r="H417" s="99" t="s">
        <v>3</v>
      </c>
      <c r="I417" s="99" t="s">
        <v>84</v>
      </c>
      <c r="J417" s="99" t="s">
        <v>86</v>
      </c>
    </row>
    <row r="418" spans="1:10" ht="39.6" x14ac:dyDescent="0.25">
      <c r="A418" s="143" t="s">
        <v>385</v>
      </c>
      <c r="B418" s="52" t="s">
        <v>228</v>
      </c>
      <c r="C418" s="143" t="s">
        <v>87</v>
      </c>
      <c r="D418" s="143" t="s">
        <v>229</v>
      </c>
      <c r="E418" s="194" t="s">
        <v>442</v>
      </c>
      <c r="F418" s="194"/>
      <c r="G418" s="51" t="s">
        <v>13</v>
      </c>
      <c r="H418" s="144">
        <v>1</v>
      </c>
      <c r="I418" s="53">
        <v>447.66</v>
      </c>
      <c r="J418" s="53">
        <v>447.66</v>
      </c>
    </row>
    <row r="419" spans="1:10" ht="39.6" x14ac:dyDescent="0.25">
      <c r="A419" s="155" t="s">
        <v>413</v>
      </c>
      <c r="B419" s="154" t="s">
        <v>510</v>
      </c>
      <c r="C419" s="155" t="s">
        <v>87</v>
      </c>
      <c r="D419" s="155" t="s">
        <v>511</v>
      </c>
      <c r="E419" s="196" t="s">
        <v>489</v>
      </c>
      <c r="F419" s="196"/>
      <c r="G419" s="156" t="s">
        <v>490</v>
      </c>
      <c r="H419" s="157">
        <v>2.5491999999999999</v>
      </c>
      <c r="I419" s="158">
        <v>23.71</v>
      </c>
      <c r="J419" s="158">
        <v>60.44</v>
      </c>
    </row>
    <row r="420" spans="1:10" ht="39.6" x14ac:dyDescent="0.25">
      <c r="A420" s="155" t="s">
        <v>413</v>
      </c>
      <c r="B420" s="154" t="s">
        <v>721</v>
      </c>
      <c r="C420" s="155" t="s">
        <v>87</v>
      </c>
      <c r="D420" s="155" t="s">
        <v>722</v>
      </c>
      <c r="E420" s="196" t="s">
        <v>489</v>
      </c>
      <c r="F420" s="196"/>
      <c r="G420" s="156" t="s">
        <v>490</v>
      </c>
      <c r="H420" s="157">
        <v>1.6069</v>
      </c>
      <c r="I420" s="158">
        <v>24.04</v>
      </c>
      <c r="J420" s="158">
        <v>38.619999999999997</v>
      </c>
    </row>
    <row r="421" spans="1:10" ht="39.6" x14ac:dyDescent="0.25">
      <c r="A421" s="155" t="s">
        <v>413</v>
      </c>
      <c r="B421" s="154" t="s">
        <v>719</v>
      </c>
      <c r="C421" s="155" t="s">
        <v>87</v>
      </c>
      <c r="D421" s="155" t="s">
        <v>720</v>
      </c>
      <c r="E421" s="196" t="s">
        <v>506</v>
      </c>
      <c r="F421" s="196"/>
      <c r="G421" s="156" t="s">
        <v>126</v>
      </c>
      <c r="H421" s="157">
        <v>1.1137999999999999</v>
      </c>
      <c r="I421" s="158">
        <v>1.74</v>
      </c>
      <c r="J421" s="158">
        <v>1.93</v>
      </c>
    </row>
    <row r="422" spans="1:10" ht="39.6" x14ac:dyDescent="0.25">
      <c r="A422" s="155" t="s">
        <v>413</v>
      </c>
      <c r="B422" s="154" t="s">
        <v>717</v>
      </c>
      <c r="C422" s="155" t="s">
        <v>87</v>
      </c>
      <c r="D422" s="155" t="s">
        <v>718</v>
      </c>
      <c r="E422" s="196" t="s">
        <v>506</v>
      </c>
      <c r="F422" s="196"/>
      <c r="G422" s="156" t="s">
        <v>509</v>
      </c>
      <c r="H422" s="157">
        <v>0.49309999999999998</v>
      </c>
      <c r="I422" s="158">
        <v>0.41</v>
      </c>
      <c r="J422" s="158">
        <v>0.2</v>
      </c>
    </row>
    <row r="423" spans="1:10" ht="26.4" x14ac:dyDescent="0.25">
      <c r="A423" s="146" t="s">
        <v>386</v>
      </c>
      <c r="B423" s="145" t="s">
        <v>723</v>
      </c>
      <c r="C423" s="146" t="s">
        <v>87</v>
      </c>
      <c r="D423" s="146" t="s">
        <v>724</v>
      </c>
      <c r="E423" s="197" t="s">
        <v>395</v>
      </c>
      <c r="F423" s="197"/>
      <c r="G423" s="147" t="s">
        <v>13</v>
      </c>
      <c r="H423" s="148">
        <v>0.63019999999999998</v>
      </c>
      <c r="I423" s="149">
        <v>60.78</v>
      </c>
      <c r="J423" s="149">
        <v>38.299999999999997</v>
      </c>
    </row>
    <row r="424" spans="1:10" x14ac:dyDescent="0.25">
      <c r="A424" s="146" t="s">
        <v>386</v>
      </c>
      <c r="B424" s="145" t="s">
        <v>725</v>
      </c>
      <c r="C424" s="146" t="s">
        <v>87</v>
      </c>
      <c r="D424" s="146" t="s">
        <v>726</v>
      </c>
      <c r="E424" s="197" t="s">
        <v>395</v>
      </c>
      <c r="F424" s="197"/>
      <c r="G424" s="147" t="s">
        <v>28</v>
      </c>
      <c r="H424" s="148">
        <v>15.125500000000001</v>
      </c>
      <c r="I424" s="149">
        <v>0.86</v>
      </c>
      <c r="J424" s="149">
        <v>13</v>
      </c>
    </row>
    <row r="425" spans="1:10" x14ac:dyDescent="0.25">
      <c r="A425" s="146" t="s">
        <v>386</v>
      </c>
      <c r="B425" s="145" t="s">
        <v>727</v>
      </c>
      <c r="C425" s="146" t="s">
        <v>87</v>
      </c>
      <c r="D425" s="146" t="s">
        <v>728</v>
      </c>
      <c r="E425" s="197" t="s">
        <v>395</v>
      </c>
      <c r="F425" s="197"/>
      <c r="G425" s="147" t="s">
        <v>28</v>
      </c>
      <c r="H425" s="148">
        <v>420.15269999999998</v>
      </c>
      <c r="I425" s="149">
        <v>0.59</v>
      </c>
      <c r="J425" s="149">
        <v>247.89</v>
      </c>
    </row>
    <row r="426" spans="1:10" ht="26.4" x14ac:dyDescent="0.25">
      <c r="A426" s="146" t="s">
        <v>386</v>
      </c>
      <c r="B426" s="145" t="s">
        <v>729</v>
      </c>
      <c r="C426" s="146" t="s">
        <v>87</v>
      </c>
      <c r="D426" s="146" t="s">
        <v>730</v>
      </c>
      <c r="E426" s="197" t="s">
        <v>395</v>
      </c>
      <c r="F426" s="197"/>
      <c r="G426" s="147" t="s">
        <v>13</v>
      </c>
      <c r="H426" s="148">
        <v>0.58819999999999995</v>
      </c>
      <c r="I426" s="149">
        <v>80.39</v>
      </c>
      <c r="J426" s="149">
        <v>47.28</v>
      </c>
    </row>
    <row r="427" spans="1:10" ht="39.6" x14ac:dyDescent="0.25">
      <c r="A427" s="151"/>
      <c r="B427" s="151"/>
      <c r="C427" s="151"/>
      <c r="D427" s="151"/>
      <c r="E427" s="151" t="s">
        <v>405</v>
      </c>
      <c r="F427" s="150">
        <v>69.349999999999994</v>
      </c>
      <c r="G427" s="151" t="s">
        <v>406</v>
      </c>
      <c r="H427" s="150">
        <v>0</v>
      </c>
      <c r="I427" s="151" t="s">
        <v>407</v>
      </c>
      <c r="J427" s="150">
        <v>69.349999999999994</v>
      </c>
    </row>
    <row r="428" spans="1:10" ht="39.6" x14ac:dyDescent="0.25">
      <c r="A428" s="151"/>
      <c r="B428" s="151"/>
      <c r="C428" s="151"/>
      <c r="D428" s="151"/>
      <c r="E428" s="151" t="s">
        <v>408</v>
      </c>
      <c r="F428" s="150">
        <v>129.015612</v>
      </c>
      <c r="G428" s="151"/>
      <c r="H428" s="195" t="s">
        <v>409</v>
      </c>
      <c r="I428" s="195"/>
      <c r="J428" s="150">
        <v>576.67999999999995</v>
      </c>
    </row>
    <row r="429" spans="1:10" ht="14.4" thickBot="1" x14ac:dyDescent="0.3">
      <c r="A429" s="95"/>
      <c r="B429" s="95"/>
      <c r="C429" s="95"/>
      <c r="D429" s="95"/>
      <c r="E429" s="95"/>
      <c r="F429" s="95"/>
      <c r="G429" s="95" t="s">
        <v>410</v>
      </c>
      <c r="H429" s="152">
        <v>2.96</v>
      </c>
      <c r="I429" s="95" t="s">
        <v>411</v>
      </c>
      <c r="J429" s="96">
        <v>1706.97</v>
      </c>
    </row>
    <row r="430" spans="1:10" ht="14.4" thickTop="1" x14ac:dyDescent="0.25">
      <c r="A430" s="153"/>
      <c r="B430" s="153"/>
      <c r="C430" s="153"/>
      <c r="D430" s="153"/>
      <c r="E430" s="153"/>
      <c r="F430" s="153"/>
      <c r="G430" s="153"/>
      <c r="H430" s="153"/>
      <c r="I430" s="153"/>
      <c r="J430" s="153"/>
    </row>
    <row r="431" spans="1:10" x14ac:dyDescent="0.25">
      <c r="A431" s="100" t="s">
        <v>236</v>
      </c>
      <c r="B431" s="99" t="s">
        <v>82</v>
      </c>
      <c r="C431" s="100" t="s">
        <v>83</v>
      </c>
      <c r="D431" s="100" t="s">
        <v>1</v>
      </c>
      <c r="E431" s="193" t="s">
        <v>97</v>
      </c>
      <c r="F431" s="193"/>
      <c r="G431" s="101" t="s">
        <v>2</v>
      </c>
      <c r="H431" s="99" t="s">
        <v>3</v>
      </c>
      <c r="I431" s="99" t="s">
        <v>84</v>
      </c>
      <c r="J431" s="99" t="s">
        <v>86</v>
      </c>
    </row>
    <row r="432" spans="1:10" ht="26.4" x14ac:dyDescent="0.25">
      <c r="A432" s="143" t="s">
        <v>385</v>
      </c>
      <c r="B432" s="52" t="s">
        <v>231</v>
      </c>
      <c r="C432" s="143" t="s">
        <v>87</v>
      </c>
      <c r="D432" s="143" t="s">
        <v>232</v>
      </c>
      <c r="E432" s="194" t="s">
        <v>731</v>
      </c>
      <c r="F432" s="194"/>
      <c r="G432" s="51" t="s">
        <v>6</v>
      </c>
      <c r="H432" s="144">
        <v>1</v>
      </c>
      <c r="I432" s="53">
        <v>45.56</v>
      </c>
      <c r="J432" s="53">
        <v>45.56</v>
      </c>
    </row>
    <row r="433" spans="1:10" ht="39.6" x14ac:dyDescent="0.25">
      <c r="A433" s="155" t="s">
        <v>413</v>
      </c>
      <c r="B433" s="154" t="s">
        <v>732</v>
      </c>
      <c r="C433" s="155" t="s">
        <v>87</v>
      </c>
      <c r="D433" s="155" t="s">
        <v>733</v>
      </c>
      <c r="E433" s="196" t="s">
        <v>489</v>
      </c>
      <c r="F433" s="196"/>
      <c r="G433" s="156" t="s">
        <v>490</v>
      </c>
      <c r="H433" s="157">
        <v>8.5000000000000006E-2</v>
      </c>
      <c r="I433" s="158">
        <v>25.28</v>
      </c>
      <c r="J433" s="158">
        <v>2.14</v>
      </c>
    </row>
    <row r="434" spans="1:10" ht="39.6" x14ac:dyDescent="0.25">
      <c r="A434" s="155" t="s">
        <v>413</v>
      </c>
      <c r="B434" s="154" t="s">
        <v>734</v>
      </c>
      <c r="C434" s="155" t="s">
        <v>87</v>
      </c>
      <c r="D434" s="155" t="s">
        <v>735</v>
      </c>
      <c r="E434" s="196" t="s">
        <v>489</v>
      </c>
      <c r="F434" s="196"/>
      <c r="G434" s="156" t="s">
        <v>490</v>
      </c>
      <c r="H434" s="157">
        <v>0.42199999999999999</v>
      </c>
      <c r="I434" s="158">
        <v>27.39</v>
      </c>
      <c r="J434" s="158">
        <v>11.55</v>
      </c>
    </row>
    <row r="435" spans="1:10" ht="39.6" x14ac:dyDescent="0.25">
      <c r="A435" s="146" t="s">
        <v>386</v>
      </c>
      <c r="B435" s="145" t="s">
        <v>736</v>
      </c>
      <c r="C435" s="146" t="s">
        <v>87</v>
      </c>
      <c r="D435" s="146" t="s">
        <v>737</v>
      </c>
      <c r="E435" s="197" t="s">
        <v>395</v>
      </c>
      <c r="F435" s="197"/>
      <c r="G435" s="147" t="s">
        <v>28</v>
      </c>
      <c r="H435" s="148">
        <v>1.5</v>
      </c>
      <c r="I435" s="149">
        <v>21.25</v>
      </c>
      <c r="J435" s="149">
        <v>31.87</v>
      </c>
    </row>
    <row r="436" spans="1:10" ht="39.6" x14ac:dyDescent="0.25">
      <c r="A436" s="151"/>
      <c r="B436" s="151"/>
      <c r="C436" s="151"/>
      <c r="D436" s="151"/>
      <c r="E436" s="151" t="s">
        <v>405</v>
      </c>
      <c r="F436" s="150">
        <v>9.8000000000000007</v>
      </c>
      <c r="G436" s="151" t="s">
        <v>406</v>
      </c>
      <c r="H436" s="150">
        <v>0</v>
      </c>
      <c r="I436" s="151" t="s">
        <v>407</v>
      </c>
      <c r="J436" s="150">
        <v>9.8000000000000007</v>
      </c>
    </row>
    <row r="437" spans="1:10" ht="39.6" x14ac:dyDescent="0.25">
      <c r="A437" s="151"/>
      <c r="B437" s="151"/>
      <c r="C437" s="151"/>
      <c r="D437" s="151"/>
      <c r="E437" s="151" t="s">
        <v>408</v>
      </c>
      <c r="F437" s="150">
        <v>13.130392000000001</v>
      </c>
      <c r="G437" s="151"/>
      <c r="H437" s="195" t="s">
        <v>409</v>
      </c>
      <c r="I437" s="195"/>
      <c r="J437" s="150">
        <v>58.69</v>
      </c>
    </row>
    <row r="438" spans="1:10" ht="14.4" thickBot="1" x14ac:dyDescent="0.3">
      <c r="A438" s="95"/>
      <c r="B438" s="95"/>
      <c r="C438" s="95"/>
      <c r="D438" s="95"/>
      <c r="E438" s="95"/>
      <c r="F438" s="95"/>
      <c r="G438" s="95" t="s">
        <v>410</v>
      </c>
      <c r="H438" s="152">
        <v>39.200000000000003</v>
      </c>
      <c r="I438" s="95" t="s">
        <v>411</v>
      </c>
      <c r="J438" s="96">
        <v>2300.65</v>
      </c>
    </row>
    <row r="439" spans="1:10" ht="14.4" thickTop="1" x14ac:dyDescent="0.25">
      <c r="A439" s="153"/>
      <c r="B439" s="153"/>
      <c r="C439" s="153"/>
      <c r="D439" s="153"/>
      <c r="E439" s="153"/>
      <c r="F439" s="153"/>
      <c r="G439" s="153"/>
      <c r="H439" s="153"/>
      <c r="I439" s="153"/>
      <c r="J439" s="153"/>
    </row>
    <row r="440" spans="1:10" x14ac:dyDescent="0.25">
      <c r="A440" s="100" t="s">
        <v>239</v>
      </c>
      <c r="B440" s="99" t="s">
        <v>82</v>
      </c>
      <c r="C440" s="100" t="s">
        <v>83</v>
      </c>
      <c r="D440" s="100" t="s">
        <v>1</v>
      </c>
      <c r="E440" s="193" t="s">
        <v>97</v>
      </c>
      <c r="F440" s="193"/>
      <c r="G440" s="101" t="s">
        <v>2</v>
      </c>
      <c r="H440" s="99" t="s">
        <v>3</v>
      </c>
      <c r="I440" s="99" t="s">
        <v>84</v>
      </c>
      <c r="J440" s="99" t="s">
        <v>86</v>
      </c>
    </row>
    <row r="441" spans="1:10" ht="39.6" x14ac:dyDescent="0.25">
      <c r="A441" s="143" t="s">
        <v>385</v>
      </c>
      <c r="B441" s="52" t="s">
        <v>234</v>
      </c>
      <c r="C441" s="143" t="s">
        <v>87</v>
      </c>
      <c r="D441" s="143" t="s">
        <v>235</v>
      </c>
      <c r="E441" s="194" t="s">
        <v>489</v>
      </c>
      <c r="F441" s="194"/>
      <c r="G441" s="51" t="s">
        <v>13</v>
      </c>
      <c r="H441" s="144">
        <v>1</v>
      </c>
      <c r="I441" s="53">
        <v>3652.03</v>
      </c>
      <c r="J441" s="53">
        <v>3652.03</v>
      </c>
    </row>
    <row r="442" spans="1:10" ht="39.6" x14ac:dyDescent="0.25">
      <c r="A442" s="155" t="s">
        <v>413</v>
      </c>
      <c r="B442" s="154" t="s">
        <v>721</v>
      </c>
      <c r="C442" s="155" t="s">
        <v>87</v>
      </c>
      <c r="D442" s="155" t="s">
        <v>722</v>
      </c>
      <c r="E442" s="196" t="s">
        <v>489</v>
      </c>
      <c r="F442" s="196"/>
      <c r="G442" s="156" t="s">
        <v>490</v>
      </c>
      <c r="H442" s="157">
        <v>4.5599999999999996</v>
      </c>
      <c r="I442" s="158">
        <v>24.04</v>
      </c>
      <c r="J442" s="158">
        <v>109.62</v>
      </c>
    </row>
    <row r="443" spans="1:10" ht="39.6" x14ac:dyDescent="0.25">
      <c r="A443" s="155" t="s">
        <v>413</v>
      </c>
      <c r="B443" s="154" t="s">
        <v>719</v>
      </c>
      <c r="C443" s="155" t="s">
        <v>87</v>
      </c>
      <c r="D443" s="155" t="s">
        <v>720</v>
      </c>
      <c r="E443" s="196" t="s">
        <v>506</v>
      </c>
      <c r="F443" s="196"/>
      <c r="G443" s="156" t="s">
        <v>126</v>
      </c>
      <c r="H443" s="157">
        <v>1.06</v>
      </c>
      <c r="I443" s="158">
        <v>1.74</v>
      </c>
      <c r="J443" s="158">
        <v>1.84</v>
      </c>
    </row>
    <row r="444" spans="1:10" ht="39.6" x14ac:dyDescent="0.25">
      <c r="A444" s="155" t="s">
        <v>413</v>
      </c>
      <c r="B444" s="154" t="s">
        <v>717</v>
      </c>
      <c r="C444" s="155" t="s">
        <v>87</v>
      </c>
      <c r="D444" s="155" t="s">
        <v>718</v>
      </c>
      <c r="E444" s="196" t="s">
        <v>506</v>
      </c>
      <c r="F444" s="196"/>
      <c r="G444" s="156" t="s">
        <v>509</v>
      </c>
      <c r="H444" s="157">
        <v>3.5</v>
      </c>
      <c r="I444" s="158">
        <v>0.41</v>
      </c>
      <c r="J444" s="158">
        <v>1.43</v>
      </c>
    </row>
    <row r="445" spans="1:10" ht="26.4" x14ac:dyDescent="0.25">
      <c r="A445" s="146" t="s">
        <v>386</v>
      </c>
      <c r="B445" s="145" t="s">
        <v>723</v>
      </c>
      <c r="C445" s="146" t="s">
        <v>87</v>
      </c>
      <c r="D445" s="146" t="s">
        <v>724</v>
      </c>
      <c r="E445" s="197" t="s">
        <v>395</v>
      </c>
      <c r="F445" s="197"/>
      <c r="G445" s="147" t="s">
        <v>13</v>
      </c>
      <c r="H445" s="148">
        <v>0.74</v>
      </c>
      <c r="I445" s="149">
        <v>60.78</v>
      </c>
      <c r="J445" s="149">
        <v>44.97</v>
      </c>
    </row>
    <row r="446" spans="1:10" x14ac:dyDescent="0.25">
      <c r="A446" s="146" t="s">
        <v>386</v>
      </c>
      <c r="B446" s="145" t="s">
        <v>727</v>
      </c>
      <c r="C446" s="146" t="s">
        <v>87</v>
      </c>
      <c r="D446" s="146" t="s">
        <v>728</v>
      </c>
      <c r="E446" s="197" t="s">
        <v>395</v>
      </c>
      <c r="F446" s="197"/>
      <c r="G446" s="147" t="s">
        <v>28</v>
      </c>
      <c r="H446" s="148">
        <v>331.12</v>
      </c>
      <c r="I446" s="149">
        <v>0.59</v>
      </c>
      <c r="J446" s="149">
        <v>195.36</v>
      </c>
    </row>
    <row r="447" spans="1:10" ht="26.4" x14ac:dyDescent="0.25">
      <c r="A447" s="146" t="s">
        <v>386</v>
      </c>
      <c r="B447" s="145" t="s">
        <v>738</v>
      </c>
      <c r="C447" s="146" t="s">
        <v>87</v>
      </c>
      <c r="D447" s="146" t="s">
        <v>739</v>
      </c>
      <c r="E447" s="197" t="s">
        <v>395</v>
      </c>
      <c r="F447" s="197"/>
      <c r="G447" s="147" t="s">
        <v>30</v>
      </c>
      <c r="H447" s="148">
        <v>191.68</v>
      </c>
      <c r="I447" s="149">
        <v>17.21</v>
      </c>
      <c r="J447" s="149">
        <v>3298.81</v>
      </c>
    </row>
    <row r="448" spans="1:10" ht="39.6" x14ac:dyDescent="0.25">
      <c r="A448" s="151"/>
      <c r="B448" s="151"/>
      <c r="C448" s="151"/>
      <c r="D448" s="151"/>
      <c r="E448" s="151" t="s">
        <v>405</v>
      </c>
      <c r="F448" s="150">
        <v>79.84</v>
      </c>
      <c r="G448" s="151" t="s">
        <v>406</v>
      </c>
      <c r="H448" s="150">
        <v>0</v>
      </c>
      <c r="I448" s="151" t="s">
        <v>407</v>
      </c>
      <c r="J448" s="150">
        <v>79.84</v>
      </c>
    </row>
    <row r="449" spans="1:10" ht="39.6" x14ac:dyDescent="0.25">
      <c r="A449" s="151"/>
      <c r="B449" s="151"/>
      <c r="C449" s="151"/>
      <c r="D449" s="151"/>
      <c r="E449" s="151" t="s">
        <v>408</v>
      </c>
      <c r="F449" s="150">
        <v>1052.515046</v>
      </c>
      <c r="G449" s="151"/>
      <c r="H449" s="195" t="s">
        <v>409</v>
      </c>
      <c r="I449" s="195"/>
      <c r="J449" s="150">
        <v>4704.55</v>
      </c>
    </row>
    <row r="450" spans="1:10" ht="14.4" thickBot="1" x14ac:dyDescent="0.3">
      <c r="A450" s="95"/>
      <c r="B450" s="95"/>
      <c r="C450" s="95"/>
      <c r="D450" s="95"/>
      <c r="E450" s="95"/>
      <c r="F450" s="95"/>
      <c r="G450" s="95" t="s">
        <v>410</v>
      </c>
      <c r="H450" s="152">
        <v>1.01</v>
      </c>
      <c r="I450" s="95" t="s">
        <v>411</v>
      </c>
      <c r="J450" s="96">
        <v>4751.6000000000004</v>
      </c>
    </row>
    <row r="451" spans="1:10" ht="14.4" thickTop="1" x14ac:dyDescent="0.25">
      <c r="A451" s="153"/>
      <c r="B451" s="153"/>
      <c r="C451" s="153"/>
      <c r="D451" s="153"/>
      <c r="E451" s="153"/>
      <c r="F451" s="153"/>
      <c r="G451" s="153"/>
      <c r="H451" s="153"/>
      <c r="I451" s="153"/>
      <c r="J451" s="153"/>
    </row>
    <row r="452" spans="1:10" x14ac:dyDescent="0.25">
      <c r="A452" s="100" t="s">
        <v>333</v>
      </c>
      <c r="B452" s="99" t="s">
        <v>82</v>
      </c>
      <c r="C452" s="100" t="s">
        <v>83</v>
      </c>
      <c r="D452" s="100" t="s">
        <v>1</v>
      </c>
      <c r="E452" s="193" t="s">
        <v>97</v>
      </c>
      <c r="F452" s="193"/>
      <c r="G452" s="101" t="s">
        <v>2</v>
      </c>
      <c r="H452" s="99" t="s">
        <v>3</v>
      </c>
      <c r="I452" s="99" t="s">
        <v>84</v>
      </c>
      <c r="J452" s="99" t="s">
        <v>86</v>
      </c>
    </row>
    <row r="453" spans="1:10" ht="52.8" x14ac:dyDescent="0.25">
      <c r="A453" s="143" t="s">
        <v>385</v>
      </c>
      <c r="B453" s="52" t="s">
        <v>237</v>
      </c>
      <c r="C453" s="143" t="s">
        <v>87</v>
      </c>
      <c r="D453" s="143" t="s">
        <v>238</v>
      </c>
      <c r="E453" s="194" t="s">
        <v>489</v>
      </c>
      <c r="F453" s="194"/>
      <c r="G453" s="51" t="s">
        <v>13</v>
      </c>
      <c r="H453" s="144">
        <v>1</v>
      </c>
      <c r="I453" s="53">
        <v>437.52</v>
      </c>
      <c r="J453" s="53">
        <v>437.52</v>
      </c>
    </row>
    <row r="454" spans="1:10" ht="39.6" x14ac:dyDescent="0.25">
      <c r="A454" s="155" t="s">
        <v>413</v>
      </c>
      <c r="B454" s="154" t="s">
        <v>721</v>
      </c>
      <c r="C454" s="155" t="s">
        <v>87</v>
      </c>
      <c r="D454" s="155" t="s">
        <v>722</v>
      </c>
      <c r="E454" s="196" t="s">
        <v>489</v>
      </c>
      <c r="F454" s="196"/>
      <c r="G454" s="156" t="s">
        <v>490</v>
      </c>
      <c r="H454" s="157">
        <v>4.87</v>
      </c>
      <c r="I454" s="158">
        <v>24.04</v>
      </c>
      <c r="J454" s="158">
        <v>117.07</v>
      </c>
    </row>
    <row r="455" spans="1:10" ht="39.6" x14ac:dyDescent="0.25">
      <c r="A455" s="155" t="s">
        <v>413</v>
      </c>
      <c r="B455" s="154" t="s">
        <v>719</v>
      </c>
      <c r="C455" s="155" t="s">
        <v>87</v>
      </c>
      <c r="D455" s="155" t="s">
        <v>720</v>
      </c>
      <c r="E455" s="196" t="s">
        <v>506</v>
      </c>
      <c r="F455" s="196"/>
      <c r="G455" s="156" t="s">
        <v>126</v>
      </c>
      <c r="H455" s="157">
        <v>1.1299999999999999</v>
      </c>
      <c r="I455" s="158">
        <v>1.74</v>
      </c>
      <c r="J455" s="158">
        <v>1.96</v>
      </c>
    </row>
    <row r="456" spans="1:10" ht="39.6" x14ac:dyDescent="0.25">
      <c r="A456" s="155" t="s">
        <v>413</v>
      </c>
      <c r="B456" s="154" t="s">
        <v>717</v>
      </c>
      <c r="C456" s="155" t="s">
        <v>87</v>
      </c>
      <c r="D456" s="155" t="s">
        <v>718</v>
      </c>
      <c r="E456" s="196" t="s">
        <v>506</v>
      </c>
      <c r="F456" s="196"/>
      <c r="G456" s="156" t="s">
        <v>509</v>
      </c>
      <c r="H456" s="157">
        <v>3.74</v>
      </c>
      <c r="I456" s="158">
        <v>0.41</v>
      </c>
      <c r="J456" s="158">
        <v>1.53</v>
      </c>
    </row>
    <row r="457" spans="1:10" ht="26.4" x14ac:dyDescent="0.25">
      <c r="A457" s="146" t="s">
        <v>386</v>
      </c>
      <c r="B457" s="145" t="s">
        <v>740</v>
      </c>
      <c r="C457" s="146" t="s">
        <v>87</v>
      </c>
      <c r="D457" s="146" t="s">
        <v>741</v>
      </c>
      <c r="E457" s="197" t="s">
        <v>395</v>
      </c>
      <c r="F457" s="197"/>
      <c r="G457" s="147" t="s">
        <v>13</v>
      </c>
      <c r="H457" s="148">
        <v>1.18</v>
      </c>
      <c r="I457" s="149">
        <v>60</v>
      </c>
      <c r="J457" s="149">
        <v>70.8</v>
      </c>
    </row>
    <row r="458" spans="1:10" x14ac:dyDescent="0.25">
      <c r="A458" s="146" t="s">
        <v>386</v>
      </c>
      <c r="B458" s="145" t="s">
        <v>725</v>
      </c>
      <c r="C458" s="146" t="s">
        <v>87</v>
      </c>
      <c r="D458" s="146" t="s">
        <v>726</v>
      </c>
      <c r="E458" s="197" t="s">
        <v>395</v>
      </c>
      <c r="F458" s="197"/>
      <c r="G458" s="147" t="s">
        <v>28</v>
      </c>
      <c r="H458" s="148">
        <v>141.07</v>
      </c>
      <c r="I458" s="149">
        <v>0.86</v>
      </c>
      <c r="J458" s="149">
        <v>121.32</v>
      </c>
    </row>
    <row r="459" spans="1:10" x14ac:dyDescent="0.25">
      <c r="A459" s="146" t="s">
        <v>386</v>
      </c>
      <c r="B459" s="145" t="s">
        <v>727</v>
      </c>
      <c r="C459" s="146" t="s">
        <v>87</v>
      </c>
      <c r="D459" s="146" t="s">
        <v>728</v>
      </c>
      <c r="E459" s="197" t="s">
        <v>395</v>
      </c>
      <c r="F459" s="197"/>
      <c r="G459" s="147" t="s">
        <v>28</v>
      </c>
      <c r="H459" s="148">
        <v>211.61</v>
      </c>
      <c r="I459" s="149">
        <v>0.59</v>
      </c>
      <c r="J459" s="149">
        <v>124.84</v>
      </c>
    </row>
    <row r="460" spans="1:10" ht="39.6" x14ac:dyDescent="0.25">
      <c r="A460" s="151"/>
      <c r="B460" s="151"/>
      <c r="C460" s="151"/>
      <c r="D460" s="151"/>
      <c r="E460" s="151" t="s">
        <v>405</v>
      </c>
      <c r="F460" s="150">
        <v>85.27</v>
      </c>
      <c r="G460" s="151" t="s">
        <v>406</v>
      </c>
      <c r="H460" s="150">
        <v>0</v>
      </c>
      <c r="I460" s="151" t="s">
        <v>407</v>
      </c>
      <c r="J460" s="150">
        <v>85.27</v>
      </c>
    </row>
    <row r="461" spans="1:10" ht="39.6" x14ac:dyDescent="0.25">
      <c r="A461" s="151"/>
      <c r="B461" s="151"/>
      <c r="C461" s="151"/>
      <c r="D461" s="151"/>
      <c r="E461" s="151" t="s">
        <v>408</v>
      </c>
      <c r="F461" s="150">
        <v>126.093264</v>
      </c>
      <c r="G461" s="151"/>
      <c r="H461" s="195" t="s">
        <v>409</v>
      </c>
      <c r="I461" s="195"/>
      <c r="J461" s="150">
        <v>563.61</v>
      </c>
    </row>
    <row r="462" spans="1:10" ht="14.4" thickBot="1" x14ac:dyDescent="0.3">
      <c r="A462" s="95"/>
      <c r="B462" s="95"/>
      <c r="C462" s="95"/>
      <c r="D462" s="95"/>
      <c r="E462" s="95"/>
      <c r="F462" s="95"/>
      <c r="G462" s="95" t="s">
        <v>410</v>
      </c>
      <c r="H462" s="152">
        <v>2.02</v>
      </c>
      <c r="I462" s="95" t="s">
        <v>411</v>
      </c>
      <c r="J462" s="96">
        <v>1138.49</v>
      </c>
    </row>
    <row r="463" spans="1:10" ht="14.4" thickTop="1" x14ac:dyDescent="0.25">
      <c r="A463" s="153"/>
      <c r="B463" s="153"/>
      <c r="C463" s="153"/>
      <c r="D463" s="153"/>
      <c r="E463" s="153"/>
      <c r="F463" s="153"/>
      <c r="G463" s="153"/>
      <c r="H463" s="153"/>
      <c r="I463" s="153"/>
      <c r="J463" s="153"/>
    </row>
    <row r="464" spans="1:10" x14ac:dyDescent="0.25">
      <c r="A464" s="100" t="s">
        <v>334</v>
      </c>
      <c r="B464" s="99" t="s">
        <v>82</v>
      </c>
      <c r="C464" s="100" t="s">
        <v>83</v>
      </c>
      <c r="D464" s="100" t="s">
        <v>1</v>
      </c>
      <c r="E464" s="193" t="s">
        <v>97</v>
      </c>
      <c r="F464" s="193"/>
      <c r="G464" s="101" t="s">
        <v>2</v>
      </c>
      <c r="H464" s="99" t="s">
        <v>3</v>
      </c>
      <c r="I464" s="99" t="s">
        <v>84</v>
      </c>
      <c r="J464" s="99" t="s">
        <v>86</v>
      </c>
    </row>
    <row r="465" spans="1:10" ht="26.4" x14ac:dyDescent="0.25">
      <c r="A465" s="143" t="s">
        <v>385</v>
      </c>
      <c r="B465" s="52" t="s">
        <v>240</v>
      </c>
      <c r="C465" s="143" t="s">
        <v>87</v>
      </c>
      <c r="D465" s="143" t="s">
        <v>241</v>
      </c>
      <c r="E465" s="194" t="s">
        <v>486</v>
      </c>
      <c r="F465" s="194"/>
      <c r="G465" s="51" t="s">
        <v>6</v>
      </c>
      <c r="H465" s="144">
        <v>1</v>
      </c>
      <c r="I465" s="53">
        <v>13.25</v>
      </c>
      <c r="J465" s="53">
        <v>13.25</v>
      </c>
    </row>
    <row r="466" spans="1:10" ht="39.6" x14ac:dyDescent="0.25">
      <c r="A466" s="155" t="s">
        <v>413</v>
      </c>
      <c r="B466" s="154" t="s">
        <v>742</v>
      </c>
      <c r="C466" s="155" t="s">
        <v>87</v>
      </c>
      <c r="D466" s="155" t="s">
        <v>743</v>
      </c>
      <c r="E466" s="196" t="s">
        <v>489</v>
      </c>
      <c r="F466" s="196"/>
      <c r="G466" s="156" t="s">
        <v>490</v>
      </c>
      <c r="H466" s="157">
        <v>0.16309999999999999</v>
      </c>
      <c r="I466" s="158">
        <v>32.19</v>
      </c>
      <c r="J466" s="158">
        <v>5.25</v>
      </c>
    </row>
    <row r="467" spans="1:10" ht="39.6" x14ac:dyDescent="0.25">
      <c r="A467" s="155" t="s">
        <v>413</v>
      </c>
      <c r="B467" s="154" t="s">
        <v>510</v>
      </c>
      <c r="C467" s="155" t="s">
        <v>87</v>
      </c>
      <c r="D467" s="155" t="s">
        <v>511</v>
      </c>
      <c r="E467" s="196" t="s">
        <v>489</v>
      </c>
      <c r="F467" s="196"/>
      <c r="G467" s="156" t="s">
        <v>490</v>
      </c>
      <c r="H467" s="157">
        <v>5.4399999999999997E-2</v>
      </c>
      <c r="I467" s="158">
        <v>23.71</v>
      </c>
      <c r="J467" s="158">
        <v>1.28</v>
      </c>
    </row>
    <row r="468" spans="1:10" x14ac:dyDescent="0.25">
      <c r="A468" s="146" t="s">
        <v>386</v>
      </c>
      <c r="B468" s="145" t="s">
        <v>744</v>
      </c>
      <c r="C468" s="146" t="s">
        <v>87</v>
      </c>
      <c r="D468" s="146" t="s">
        <v>745</v>
      </c>
      <c r="E468" s="197" t="s">
        <v>395</v>
      </c>
      <c r="F468" s="197"/>
      <c r="G468" s="147" t="s">
        <v>30</v>
      </c>
      <c r="H468" s="148">
        <v>0.22850000000000001</v>
      </c>
      <c r="I468" s="149">
        <v>29.43</v>
      </c>
      <c r="J468" s="149">
        <v>6.72</v>
      </c>
    </row>
    <row r="469" spans="1:10" ht="39.6" x14ac:dyDescent="0.25">
      <c r="A469" s="151"/>
      <c r="B469" s="151"/>
      <c r="C469" s="151"/>
      <c r="D469" s="151"/>
      <c r="E469" s="151" t="s">
        <v>405</v>
      </c>
      <c r="F469" s="150">
        <v>4.6399999999999997</v>
      </c>
      <c r="G469" s="151" t="s">
        <v>406</v>
      </c>
      <c r="H469" s="150">
        <v>0</v>
      </c>
      <c r="I469" s="151" t="s">
        <v>407</v>
      </c>
      <c r="J469" s="150">
        <v>4.6399999999999997</v>
      </c>
    </row>
    <row r="470" spans="1:10" ht="39.6" x14ac:dyDescent="0.25">
      <c r="A470" s="151"/>
      <c r="B470" s="151"/>
      <c r="C470" s="151"/>
      <c r="D470" s="151"/>
      <c r="E470" s="151" t="s">
        <v>408</v>
      </c>
      <c r="F470" s="150">
        <v>3.8186499999999999</v>
      </c>
      <c r="G470" s="151"/>
      <c r="H470" s="195" t="s">
        <v>409</v>
      </c>
      <c r="I470" s="195"/>
      <c r="J470" s="150">
        <v>17.07</v>
      </c>
    </row>
    <row r="471" spans="1:10" ht="14.4" thickBot="1" x14ac:dyDescent="0.3">
      <c r="A471" s="95"/>
      <c r="B471" s="95"/>
      <c r="C471" s="95"/>
      <c r="D471" s="95"/>
      <c r="E471" s="95"/>
      <c r="F471" s="95"/>
      <c r="G471" s="95" t="s">
        <v>410</v>
      </c>
      <c r="H471" s="152">
        <v>100.8</v>
      </c>
      <c r="I471" s="95" t="s">
        <v>411</v>
      </c>
      <c r="J471" s="96">
        <v>1720.66</v>
      </c>
    </row>
    <row r="472" spans="1:10" ht="14.4" thickTop="1" x14ac:dyDescent="0.25">
      <c r="A472" s="153"/>
      <c r="B472" s="153"/>
      <c r="C472" s="153"/>
      <c r="D472" s="153"/>
      <c r="E472" s="153"/>
      <c r="F472" s="153"/>
      <c r="G472" s="153"/>
      <c r="H472" s="153"/>
      <c r="I472" s="153"/>
      <c r="J472" s="153"/>
    </row>
    <row r="473" spans="1:10" x14ac:dyDescent="0.25">
      <c r="A473" s="142" t="s">
        <v>242</v>
      </c>
      <c r="B473" s="142"/>
      <c r="C473" s="142"/>
      <c r="D473" s="142" t="s">
        <v>243</v>
      </c>
      <c r="E473" s="142"/>
      <c r="F473" s="198"/>
      <c r="G473" s="198"/>
      <c r="H473" s="73"/>
      <c r="I473" s="142"/>
      <c r="J473" s="74">
        <v>157861.96</v>
      </c>
    </row>
    <row r="474" spans="1:10" x14ac:dyDescent="0.25">
      <c r="A474" s="100" t="s">
        <v>244</v>
      </c>
      <c r="B474" s="99" t="s">
        <v>82</v>
      </c>
      <c r="C474" s="100" t="s">
        <v>83</v>
      </c>
      <c r="D474" s="100" t="s">
        <v>1</v>
      </c>
      <c r="E474" s="193" t="s">
        <v>97</v>
      </c>
      <c r="F474" s="193"/>
      <c r="G474" s="101" t="s">
        <v>2</v>
      </c>
      <c r="H474" s="99" t="s">
        <v>3</v>
      </c>
      <c r="I474" s="99" t="s">
        <v>84</v>
      </c>
      <c r="J474" s="99" t="s">
        <v>86</v>
      </c>
    </row>
    <row r="475" spans="1:10" ht="52.8" x14ac:dyDescent="0.25">
      <c r="A475" s="143" t="s">
        <v>385</v>
      </c>
      <c r="B475" s="52" t="s">
        <v>245</v>
      </c>
      <c r="C475" s="143" t="s">
        <v>87</v>
      </c>
      <c r="D475" s="143" t="s">
        <v>246</v>
      </c>
      <c r="E475" s="194" t="s">
        <v>574</v>
      </c>
      <c r="F475" s="194"/>
      <c r="G475" s="51" t="s">
        <v>19</v>
      </c>
      <c r="H475" s="144">
        <v>1</v>
      </c>
      <c r="I475" s="53">
        <v>51.51</v>
      </c>
      <c r="J475" s="53">
        <v>51.51</v>
      </c>
    </row>
    <row r="476" spans="1:10" ht="39.6" x14ac:dyDescent="0.25">
      <c r="A476" s="155" t="s">
        <v>413</v>
      </c>
      <c r="B476" s="154" t="s">
        <v>646</v>
      </c>
      <c r="C476" s="155" t="s">
        <v>87</v>
      </c>
      <c r="D476" s="155" t="s">
        <v>647</v>
      </c>
      <c r="E476" s="196" t="s">
        <v>489</v>
      </c>
      <c r="F476" s="196"/>
      <c r="G476" s="156" t="s">
        <v>490</v>
      </c>
      <c r="H476" s="157">
        <v>0.39400000000000002</v>
      </c>
      <c r="I476" s="158">
        <v>27.39</v>
      </c>
      <c r="J476" s="158">
        <v>10.79</v>
      </c>
    </row>
    <row r="477" spans="1:10" ht="39.6" x14ac:dyDescent="0.25">
      <c r="A477" s="155" t="s">
        <v>413</v>
      </c>
      <c r="B477" s="154" t="s">
        <v>510</v>
      </c>
      <c r="C477" s="155" t="s">
        <v>87</v>
      </c>
      <c r="D477" s="155" t="s">
        <v>511</v>
      </c>
      <c r="E477" s="196" t="s">
        <v>489</v>
      </c>
      <c r="F477" s="196"/>
      <c r="G477" s="156" t="s">
        <v>490</v>
      </c>
      <c r="H477" s="157">
        <v>0.39400000000000002</v>
      </c>
      <c r="I477" s="158">
        <v>23.71</v>
      </c>
      <c r="J477" s="158">
        <v>9.34</v>
      </c>
    </row>
    <row r="478" spans="1:10" ht="39.6" x14ac:dyDescent="0.25">
      <c r="A478" s="155" t="s">
        <v>413</v>
      </c>
      <c r="B478" s="154" t="s">
        <v>746</v>
      </c>
      <c r="C478" s="155" t="s">
        <v>87</v>
      </c>
      <c r="D478" s="155" t="s">
        <v>747</v>
      </c>
      <c r="E478" s="196" t="s">
        <v>489</v>
      </c>
      <c r="F478" s="196"/>
      <c r="G478" s="156" t="s">
        <v>13</v>
      </c>
      <c r="H478" s="157">
        <v>2E-3</v>
      </c>
      <c r="I478" s="158">
        <v>552.33000000000004</v>
      </c>
      <c r="J478" s="158">
        <v>1.1000000000000001</v>
      </c>
    </row>
    <row r="479" spans="1:10" ht="26.4" x14ac:dyDescent="0.25">
      <c r="A479" s="146" t="s">
        <v>386</v>
      </c>
      <c r="B479" s="145" t="s">
        <v>740</v>
      </c>
      <c r="C479" s="146" t="s">
        <v>87</v>
      </c>
      <c r="D479" s="146" t="s">
        <v>741</v>
      </c>
      <c r="E479" s="197" t="s">
        <v>395</v>
      </c>
      <c r="F479" s="197"/>
      <c r="G479" s="147" t="s">
        <v>13</v>
      </c>
      <c r="H479" s="148">
        <v>7.0000000000000001E-3</v>
      </c>
      <c r="I479" s="149">
        <v>60</v>
      </c>
      <c r="J479" s="149">
        <v>0.42</v>
      </c>
    </row>
    <row r="480" spans="1:10" ht="26.4" x14ac:dyDescent="0.25">
      <c r="A480" s="146" t="s">
        <v>386</v>
      </c>
      <c r="B480" s="145" t="s">
        <v>748</v>
      </c>
      <c r="C480" s="146" t="s">
        <v>87</v>
      </c>
      <c r="D480" s="146" t="s">
        <v>749</v>
      </c>
      <c r="E480" s="197" t="s">
        <v>395</v>
      </c>
      <c r="F480" s="197"/>
      <c r="G480" s="147" t="s">
        <v>19</v>
      </c>
      <c r="H480" s="148">
        <v>1.0049999999999999</v>
      </c>
      <c r="I480" s="149">
        <v>29.72</v>
      </c>
      <c r="J480" s="149">
        <v>29.86</v>
      </c>
    </row>
    <row r="481" spans="1:10" ht="39.6" x14ac:dyDescent="0.25">
      <c r="A481" s="151"/>
      <c r="B481" s="151"/>
      <c r="C481" s="151"/>
      <c r="D481" s="151"/>
      <c r="E481" s="151" t="s">
        <v>405</v>
      </c>
      <c r="F481" s="150">
        <v>14.39</v>
      </c>
      <c r="G481" s="151" t="s">
        <v>406</v>
      </c>
      <c r="H481" s="150">
        <v>0</v>
      </c>
      <c r="I481" s="151" t="s">
        <v>407</v>
      </c>
      <c r="J481" s="150">
        <v>14.39</v>
      </c>
    </row>
    <row r="482" spans="1:10" ht="39.6" x14ac:dyDescent="0.25">
      <c r="A482" s="151"/>
      <c r="B482" s="151"/>
      <c r="C482" s="151"/>
      <c r="D482" s="151"/>
      <c r="E482" s="151" t="s">
        <v>408</v>
      </c>
      <c r="F482" s="150">
        <v>14.845181999999999</v>
      </c>
      <c r="G482" s="151"/>
      <c r="H482" s="195" t="s">
        <v>409</v>
      </c>
      <c r="I482" s="195"/>
      <c r="J482" s="150">
        <v>66.36</v>
      </c>
    </row>
    <row r="483" spans="1:10" ht="14.4" thickBot="1" x14ac:dyDescent="0.3">
      <c r="A483" s="95"/>
      <c r="B483" s="95"/>
      <c r="C483" s="95"/>
      <c r="D483" s="95"/>
      <c r="E483" s="95"/>
      <c r="F483" s="95"/>
      <c r="G483" s="95" t="s">
        <v>410</v>
      </c>
      <c r="H483" s="152">
        <v>86</v>
      </c>
      <c r="I483" s="95" t="s">
        <v>411</v>
      </c>
      <c r="J483" s="96">
        <v>5706.96</v>
      </c>
    </row>
    <row r="484" spans="1:10" ht="14.4" thickTop="1" x14ac:dyDescent="0.25">
      <c r="A484" s="153"/>
      <c r="B484" s="153"/>
      <c r="C484" s="153"/>
      <c r="D484" s="153"/>
      <c r="E484" s="153"/>
      <c r="F484" s="153"/>
      <c r="G484" s="153"/>
      <c r="H484" s="153"/>
      <c r="I484" s="153"/>
      <c r="J484" s="153"/>
    </row>
    <row r="485" spans="1:10" x14ac:dyDescent="0.25">
      <c r="A485" s="100" t="s">
        <v>247</v>
      </c>
      <c r="B485" s="99" t="s">
        <v>82</v>
      </c>
      <c r="C485" s="100" t="s">
        <v>83</v>
      </c>
      <c r="D485" s="100" t="s">
        <v>1</v>
      </c>
      <c r="E485" s="193" t="s">
        <v>97</v>
      </c>
      <c r="F485" s="193"/>
      <c r="G485" s="101" t="s">
        <v>2</v>
      </c>
      <c r="H485" s="99" t="s">
        <v>3</v>
      </c>
      <c r="I485" s="99" t="s">
        <v>84</v>
      </c>
      <c r="J485" s="99" t="s">
        <v>86</v>
      </c>
    </row>
    <row r="486" spans="1:10" ht="26.4" x14ac:dyDescent="0.25">
      <c r="A486" s="143" t="s">
        <v>385</v>
      </c>
      <c r="B486" s="52" t="s">
        <v>248</v>
      </c>
      <c r="C486" s="143" t="s">
        <v>87</v>
      </c>
      <c r="D486" s="143" t="s">
        <v>249</v>
      </c>
      <c r="E486" s="194" t="s">
        <v>619</v>
      </c>
      <c r="F486" s="194"/>
      <c r="G486" s="51" t="s">
        <v>6</v>
      </c>
      <c r="H486" s="144">
        <v>1</v>
      </c>
      <c r="I486" s="53">
        <v>1.1599999999999999</v>
      </c>
      <c r="J486" s="53">
        <v>1.1599999999999999</v>
      </c>
    </row>
    <row r="487" spans="1:10" ht="52.8" x14ac:dyDescent="0.25">
      <c r="A487" s="155" t="s">
        <v>413</v>
      </c>
      <c r="B487" s="154" t="s">
        <v>609</v>
      </c>
      <c r="C487" s="155" t="s">
        <v>87</v>
      </c>
      <c r="D487" s="155" t="s">
        <v>610</v>
      </c>
      <c r="E487" s="196" t="s">
        <v>506</v>
      </c>
      <c r="F487" s="196"/>
      <c r="G487" s="156" t="s">
        <v>126</v>
      </c>
      <c r="H487" s="157">
        <v>1E-3</v>
      </c>
      <c r="I487" s="158">
        <v>302.35000000000002</v>
      </c>
      <c r="J487" s="158">
        <v>0.3</v>
      </c>
    </row>
    <row r="488" spans="1:10" ht="52.8" x14ac:dyDescent="0.25">
      <c r="A488" s="155" t="s">
        <v>413</v>
      </c>
      <c r="B488" s="154" t="s">
        <v>613</v>
      </c>
      <c r="C488" s="155" t="s">
        <v>87</v>
      </c>
      <c r="D488" s="155" t="s">
        <v>614</v>
      </c>
      <c r="E488" s="196" t="s">
        <v>506</v>
      </c>
      <c r="F488" s="196"/>
      <c r="G488" s="156" t="s">
        <v>509</v>
      </c>
      <c r="H488" s="157">
        <v>2E-3</v>
      </c>
      <c r="I488" s="158">
        <v>67.88</v>
      </c>
      <c r="J488" s="158">
        <v>0.13</v>
      </c>
    </row>
    <row r="489" spans="1:10" ht="39.6" x14ac:dyDescent="0.25">
      <c r="A489" s="155" t="s">
        <v>413</v>
      </c>
      <c r="B489" s="154" t="s">
        <v>626</v>
      </c>
      <c r="C489" s="155" t="s">
        <v>87</v>
      </c>
      <c r="D489" s="155" t="s">
        <v>627</v>
      </c>
      <c r="E489" s="196" t="s">
        <v>506</v>
      </c>
      <c r="F489" s="196"/>
      <c r="G489" s="156" t="s">
        <v>126</v>
      </c>
      <c r="H489" s="157">
        <v>1E-4</v>
      </c>
      <c r="I489" s="158">
        <v>241.66</v>
      </c>
      <c r="J489" s="158">
        <v>0.02</v>
      </c>
    </row>
    <row r="490" spans="1:10" ht="39.6" x14ac:dyDescent="0.25">
      <c r="A490" s="155" t="s">
        <v>413</v>
      </c>
      <c r="B490" s="154" t="s">
        <v>630</v>
      </c>
      <c r="C490" s="155" t="s">
        <v>87</v>
      </c>
      <c r="D490" s="155" t="s">
        <v>631</v>
      </c>
      <c r="E490" s="196" t="s">
        <v>506</v>
      </c>
      <c r="F490" s="196"/>
      <c r="G490" s="156" t="s">
        <v>509</v>
      </c>
      <c r="H490" s="157">
        <v>3.0000000000000001E-3</v>
      </c>
      <c r="I490" s="158">
        <v>88.92</v>
      </c>
      <c r="J490" s="158">
        <v>0.26</v>
      </c>
    </row>
    <row r="491" spans="1:10" ht="39.6" x14ac:dyDescent="0.25">
      <c r="A491" s="155" t="s">
        <v>413</v>
      </c>
      <c r="B491" s="154" t="s">
        <v>510</v>
      </c>
      <c r="C491" s="155" t="s">
        <v>87</v>
      </c>
      <c r="D491" s="155" t="s">
        <v>511</v>
      </c>
      <c r="E491" s="196" t="s">
        <v>489</v>
      </c>
      <c r="F491" s="196"/>
      <c r="G491" s="156" t="s">
        <v>490</v>
      </c>
      <c r="H491" s="157">
        <v>3.0000000000000001E-3</v>
      </c>
      <c r="I491" s="158">
        <v>23.71</v>
      </c>
      <c r="J491" s="158">
        <v>7.0000000000000007E-2</v>
      </c>
    </row>
    <row r="492" spans="1:10" ht="39.6" x14ac:dyDescent="0.25">
      <c r="A492" s="155" t="s">
        <v>413</v>
      </c>
      <c r="B492" s="154" t="s">
        <v>750</v>
      </c>
      <c r="C492" s="155" t="s">
        <v>87</v>
      </c>
      <c r="D492" s="155" t="s">
        <v>751</v>
      </c>
      <c r="E492" s="196" t="s">
        <v>506</v>
      </c>
      <c r="F492" s="196"/>
      <c r="G492" s="156" t="s">
        <v>126</v>
      </c>
      <c r="H492" s="157">
        <v>1E-3</v>
      </c>
      <c r="I492" s="158">
        <v>219.9</v>
      </c>
      <c r="J492" s="158">
        <v>0.21</v>
      </c>
    </row>
    <row r="493" spans="1:10" ht="39.6" x14ac:dyDescent="0.25">
      <c r="A493" s="155" t="s">
        <v>413</v>
      </c>
      <c r="B493" s="154" t="s">
        <v>752</v>
      </c>
      <c r="C493" s="155" t="s">
        <v>87</v>
      </c>
      <c r="D493" s="155" t="s">
        <v>753</v>
      </c>
      <c r="E493" s="196" t="s">
        <v>506</v>
      </c>
      <c r="F493" s="196"/>
      <c r="G493" s="156" t="s">
        <v>509</v>
      </c>
      <c r="H493" s="157">
        <v>2E-3</v>
      </c>
      <c r="I493" s="158">
        <v>89.43</v>
      </c>
      <c r="J493" s="158">
        <v>0.17</v>
      </c>
    </row>
    <row r="494" spans="1:10" ht="39.6" x14ac:dyDescent="0.25">
      <c r="A494" s="151"/>
      <c r="B494" s="151"/>
      <c r="C494" s="151"/>
      <c r="D494" s="151"/>
      <c r="E494" s="151" t="s">
        <v>405</v>
      </c>
      <c r="F494" s="150">
        <v>0.22</v>
      </c>
      <c r="G494" s="151" t="s">
        <v>406</v>
      </c>
      <c r="H494" s="150">
        <v>0</v>
      </c>
      <c r="I494" s="151" t="s">
        <v>407</v>
      </c>
      <c r="J494" s="150">
        <v>0.22</v>
      </c>
    </row>
    <row r="495" spans="1:10" ht="39.6" x14ac:dyDescent="0.25">
      <c r="A495" s="151"/>
      <c r="B495" s="151"/>
      <c r="C495" s="151"/>
      <c r="D495" s="151"/>
      <c r="E495" s="151" t="s">
        <v>408</v>
      </c>
      <c r="F495" s="150">
        <v>0.334312</v>
      </c>
      <c r="G495" s="151"/>
      <c r="H495" s="195" t="s">
        <v>409</v>
      </c>
      <c r="I495" s="195"/>
      <c r="J495" s="150">
        <v>1.49</v>
      </c>
    </row>
    <row r="496" spans="1:10" ht="14.4" thickBot="1" x14ac:dyDescent="0.3">
      <c r="A496" s="95"/>
      <c r="B496" s="95"/>
      <c r="C496" s="95"/>
      <c r="D496" s="95"/>
      <c r="E496" s="95"/>
      <c r="F496" s="95"/>
      <c r="G496" s="95" t="s">
        <v>410</v>
      </c>
      <c r="H496" s="152">
        <v>87.15</v>
      </c>
      <c r="I496" s="95" t="s">
        <v>411</v>
      </c>
      <c r="J496" s="96">
        <v>129.85</v>
      </c>
    </row>
    <row r="497" spans="1:10" ht="14.4" thickTop="1" x14ac:dyDescent="0.25">
      <c r="A497" s="153"/>
      <c r="B497" s="153"/>
      <c r="C497" s="153"/>
      <c r="D497" s="153"/>
      <c r="E497" s="153"/>
      <c r="F497" s="153"/>
      <c r="G497" s="153"/>
      <c r="H497" s="153"/>
      <c r="I497" s="153"/>
      <c r="J497" s="153"/>
    </row>
    <row r="498" spans="1:10" x14ac:dyDescent="0.25">
      <c r="A498" s="100" t="s">
        <v>250</v>
      </c>
      <c r="B498" s="99" t="s">
        <v>82</v>
      </c>
      <c r="C498" s="100" t="s">
        <v>83</v>
      </c>
      <c r="D498" s="100" t="s">
        <v>1</v>
      </c>
      <c r="E498" s="193" t="s">
        <v>97</v>
      </c>
      <c r="F498" s="193"/>
      <c r="G498" s="101" t="s">
        <v>2</v>
      </c>
      <c r="H498" s="99" t="s">
        <v>3</v>
      </c>
      <c r="I498" s="99" t="s">
        <v>84</v>
      </c>
      <c r="J498" s="99" t="s">
        <v>86</v>
      </c>
    </row>
    <row r="499" spans="1:10" ht="52.8" x14ac:dyDescent="0.25">
      <c r="A499" s="143" t="s">
        <v>385</v>
      </c>
      <c r="B499" s="52" t="s">
        <v>251</v>
      </c>
      <c r="C499" s="143" t="s">
        <v>87</v>
      </c>
      <c r="D499" s="143" t="s">
        <v>252</v>
      </c>
      <c r="E499" s="194" t="s">
        <v>619</v>
      </c>
      <c r="F499" s="194"/>
      <c r="G499" s="51" t="s">
        <v>13</v>
      </c>
      <c r="H499" s="144">
        <v>1</v>
      </c>
      <c r="I499" s="53">
        <v>121.74</v>
      </c>
      <c r="J499" s="53">
        <v>121.74</v>
      </c>
    </row>
    <row r="500" spans="1:10" ht="52.8" x14ac:dyDescent="0.25">
      <c r="A500" s="155" t="s">
        <v>413</v>
      </c>
      <c r="B500" s="154" t="s">
        <v>624</v>
      </c>
      <c r="C500" s="155" t="s">
        <v>87</v>
      </c>
      <c r="D500" s="155" t="s">
        <v>625</v>
      </c>
      <c r="E500" s="196" t="s">
        <v>506</v>
      </c>
      <c r="F500" s="196"/>
      <c r="G500" s="156" t="s">
        <v>126</v>
      </c>
      <c r="H500" s="157">
        <v>6.0000000000000001E-3</v>
      </c>
      <c r="I500" s="158">
        <v>160.04</v>
      </c>
      <c r="J500" s="158">
        <v>0.96</v>
      </c>
    </row>
    <row r="501" spans="1:10" ht="52.8" x14ac:dyDescent="0.25">
      <c r="A501" s="155" t="s">
        <v>413</v>
      </c>
      <c r="B501" s="154" t="s">
        <v>636</v>
      </c>
      <c r="C501" s="155" t="s">
        <v>87</v>
      </c>
      <c r="D501" s="155" t="s">
        <v>637</v>
      </c>
      <c r="E501" s="196" t="s">
        <v>506</v>
      </c>
      <c r="F501" s="196"/>
      <c r="G501" s="156" t="s">
        <v>509</v>
      </c>
      <c r="H501" s="157">
        <v>0.02</v>
      </c>
      <c r="I501" s="158">
        <v>63.9</v>
      </c>
      <c r="J501" s="158">
        <v>1.27</v>
      </c>
    </row>
    <row r="502" spans="1:10" ht="52.8" x14ac:dyDescent="0.25">
      <c r="A502" s="155" t="s">
        <v>413</v>
      </c>
      <c r="B502" s="154" t="s">
        <v>609</v>
      </c>
      <c r="C502" s="155" t="s">
        <v>87</v>
      </c>
      <c r="D502" s="155" t="s">
        <v>610</v>
      </c>
      <c r="E502" s="196" t="s">
        <v>506</v>
      </c>
      <c r="F502" s="196"/>
      <c r="G502" s="156" t="s">
        <v>126</v>
      </c>
      <c r="H502" s="157">
        <v>4.0000000000000001E-3</v>
      </c>
      <c r="I502" s="158">
        <v>302.35000000000002</v>
      </c>
      <c r="J502" s="158">
        <v>1.2</v>
      </c>
    </row>
    <row r="503" spans="1:10" ht="52.8" x14ac:dyDescent="0.25">
      <c r="A503" s="155" t="s">
        <v>413</v>
      </c>
      <c r="B503" s="154" t="s">
        <v>613</v>
      </c>
      <c r="C503" s="155" t="s">
        <v>87</v>
      </c>
      <c r="D503" s="155" t="s">
        <v>614</v>
      </c>
      <c r="E503" s="196" t="s">
        <v>506</v>
      </c>
      <c r="F503" s="196"/>
      <c r="G503" s="156" t="s">
        <v>509</v>
      </c>
      <c r="H503" s="157">
        <v>2.1999999999999999E-2</v>
      </c>
      <c r="I503" s="158">
        <v>67.88</v>
      </c>
      <c r="J503" s="158">
        <v>1.49</v>
      </c>
    </row>
    <row r="504" spans="1:10" ht="39.6" x14ac:dyDescent="0.25">
      <c r="A504" s="155" t="s">
        <v>413</v>
      </c>
      <c r="B504" s="154" t="s">
        <v>754</v>
      </c>
      <c r="C504" s="155" t="s">
        <v>87</v>
      </c>
      <c r="D504" s="155" t="s">
        <v>755</v>
      </c>
      <c r="E504" s="196" t="s">
        <v>506</v>
      </c>
      <c r="F504" s="196"/>
      <c r="G504" s="156" t="s">
        <v>126</v>
      </c>
      <c r="H504" s="157">
        <v>6.0000000000000001E-3</v>
      </c>
      <c r="I504" s="158">
        <v>5.36</v>
      </c>
      <c r="J504" s="158">
        <v>0.03</v>
      </c>
    </row>
    <row r="505" spans="1:10" ht="39.6" x14ac:dyDescent="0.25">
      <c r="A505" s="155" t="s">
        <v>413</v>
      </c>
      <c r="B505" s="154" t="s">
        <v>760</v>
      </c>
      <c r="C505" s="155" t="s">
        <v>87</v>
      </c>
      <c r="D505" s="155" t="s">
        <v>761</v>
      </c>
      <c r="E505" s="196" t="s">
        <v>506</v>
      </c>
      <c r="F505" s="196"/>
      <c r="G505" s="156" t="s">
        <v>509</v>
      </c>
      <c r="H505" s="157">
        <v>0.02</v>
      </c>
      <c r="I505" s="158">
        <v>3.33</v>
      </c>
      <c r="J505" s="158">
        <v>0.06</v>
      </c>
    </row>
    <row r="506" spans="1:10" ht="39.6" x14ac:dyDescent="0.25">
      <c r="A506" s="155" t="s">
        <v>413</v>
      </c>
      <c r="B506" s="154" t="s">
        <v>626</v>
      </c>
      <c r="C506" s="155" t="s">
        <v>87</v>
      </c>
      <c r="D506" s="155" t="s">
        <v>627</v>
      </c>
      <c r="E506" s="196" t="s">
        <v>506</v>
      </c>
      <c r="F506" s="196"/>
      <c r="G506" s="156" t="s">
        <v>126</v>
      </c>
      <c r="H506" s="157">
        <v>8.0000000000000002E-3</v>
      </c>
      <c r="I506" s="158">
        <v>241.66</v>
      </c>
      <c r="J506" s="158">
        <v>1.93</v>
      </c>
    </row>
    <row r="507" spans="1:10" ht="39.6" x14ac:dyDescent="0.25">
      <c r="A507" s="155" t="s">
        <v>413</v>
      </c>
      <c r="B507" s="154" t="s">
        <v>630</v>
      </c>
      <c r="C507" s="155" t="s">
        <v>87</v>
      </c>
      <c r="D507" s="155" t="s">
        <v>631</v>
      </c>
      <c r="E507" s="196" t="s">
        <v>506</v>
      </c>
      <c r="F507" s="196"/>
      <c r="G507" s="156" t="s">
        <v>509</v>
      </c>
      <c r="H507" s="157">
        <v>1.9E-2</v>
      </c>
      <c r="I507" s="158">
        <v>88.92</v>
      </c>
      <c r="J507" s="158">
        <v>1.68</v>
      </c>
    </row>
    <row r="508" spans="1:10" ht="39.6" x14ac:dyDescent="0.25">
      <c r="A508" s="155" t="s">
        <v>413</v>
      </c>
      <c r="B508" s="154" t="s">
        <v>510</v>
      </c>
      <c r="C508" s="155" t="s">
        <v>87</v>
      </c>
      <c r="D508" s="155" t="s">
        <v>511</v>
      </c>
      <c r="E508" s="196" t="s">
        <v>489</v>
      </c>
      <c r="F508" s="196"/>
      <c r="G508" s="156" t="s">
        <v>490</v>
      </c>
      <c r="H508" s="157">
        <v>0.105</v>
      </c>
      <c r="I508" s="158">
        <v>23.71</v>
      </c>
      <c r="J508" s="158">
        <v>2.48</v>
      </c>
    </row>
    <row r="509" spans="1:10" ht="39.6" x14ac:dyDescent="0.25">
      <c r="A509" s="155" t="s">
        <v>413</v>
      </c>
      <c r="B509" s="154" t="s">
        <v>758</v>
      </c>
      <c r="C509" s="155" t="s">
        <v>87</v>
      </c>
      <c r="D509" s="155" t="s">
        <v>759</v>
      </c>
      <c r="E509" s="196" t="s">
        <v>506</v>
      </c>
      <c r="F509" s="196"/>
      <c r="G509" s="156" t="s">
        <v>126</v>
      </c>
      <c r="H509" s="157">
        <v>6.0000000000000001E-3</v>
      </c>
      <c r="I509" s="158">
        <v>124.38</v>
      </c>
      <c r="J509" s="158">
        <v>0.74</v>
      </c>
    </row>
    <row r="510" spans="1:10" ht="39.6" x14ac:dyDescent="0.25">
      <c r="A510" s="155" t="s">
        <v>413</v>
      </c>
      <c r="B510" s="154" t="s">
        <v>756</v>
      </c>
      <c r="C510" s="155" t="s">
        <v>87</v>
      </c>
      <c r="D510" s="155" t="s">
        <v>757</v>
      </c>
      <c r="E510" s="196" t="s">
        <v>506</v>
      </c>
      <c r="F510" s="196"/>
      <c r="G510" s="156" t="s">
        <v>509</v>
      </c>
      <c r="H510" s="157">
        <v>0.02</v>
      </c>
      <c r="I510" s="158">
        <v>45.19</v>
      </c>
      <c r="J510" s="158">
        <v>0.9</v>
      </c>
    </row>
    <row r="511" spans="1:10" ht="39.6" x14ac:dyDescent="0.25">
      <c r="A511" s="155" t="s">
        <v>413</v>
      </c>
      <c r="B511" s="154" t="s">
        <v>750</v>
      </c>
      <c r="C511" s="155" t="s">
        <v>87</v>
      </c>
      <c r="D511" s="155" t="s">
        <v>751</v>
      </c>
      <c r="E511" s="196" t="s">
        <v>506</v>
      </c>
      <c r="F511" s="196"/>
      <c r="G511" s="156" t="s">
        <v>126</v>
      </c>
      <c r="H511" s="157">
        <v>5.0000000000000001E-3</v>
      </c>
      <c r="I511" s="158">
        <v>219.9</v>
      </c>
      <c r="J511" s="158">
        <v>1.0900000000000001</v>
      </c>
    </row>
    <row r="512" spans="1:10" ht="39.6" x14ac:dyDescent="0.25">
      <c r="A512" s="155" t="s">
        <v>413</v>
      </c>
      <c r="B512" s="154" t="s">
        <v>752</v>
      </c>
      <c r="C512" s="155" t="s">
        <v>87</v>
      </c>
      <c r="D512" s="155" t="s">
        <v>753</v>
      </c>
      <c r="E512" s="196" t="s">
        <v>506</v>
      </c>
      <c r="F512" s="196"/>
      <c r="G512" s="156" t="s">
        <v>509</v>
      </c>
      <c r="H512" s="157">
        <v>2.1000000000000001E-2</v>
      </c>
      <c r="I512" s="158">
        <v>89.43</v>
      </c>
      <c r="J512" s="158">
        <v>1.87</v>
      </c>
    </row>
    <row r="513" spans="1:10" x14ac:dyDescent="0.25">
      <c r="A513" s="146" t="s">
        <v>386</v>
      </c>
      <c r="B513" s="145" t="s">
        <v>727</v>
      </c>
      <c r="C513" s="146" t="s">
        <v>87</v>
      </c>
      <c r="D513" s="146" t="s">
        <v>728</v>
      </c>
      <c r="E513" s="197" t="s">
        <v>395</v>
      </c>
      <c r="F513" s="197"/>
      <c r="G513" s="147" t="s">
        <v>28</v>
      </c>
      <c r="H513" s="148">
        <v>179.73</v>
      </c>
      <c r="I513" s="149">
        <v>0.59</v>
      </c>
      <c r="J513" s="149">
        <v>106.04</v>
      </c>
    </row>
    <row r="514" spans="1:10" ht="39.6" x14ac:dyDescent="0.25">
      <c r="A514" s="151"/>
      <c r="B514" s="151"/>
      <c r="C514" s="151"/>
      <c r="D514" s="151"/>
      <c r="E514" s="151" t="s">
        <v>405</v>
      </c>
      <c r="F514" s="150">
        <v>4.47</v>
      </c>
      <c r="G514" s="151" t="s">
        <v>406</v>
      </c>
      <c r="H514" s="150">
        <v>0</v>
      </c>
      <c r="I514" s="151" t="s">
        <v>407</v>
      </c>
      <c r="J514" s="150">
        <v>4.47</v>
      </c>
    </row>
    <row r="515" spans="1:10" ht="39.6" x14ac:dyDescent="0.25">
      <c r="A515" s="151"/>
      <c r="B515" s="151"/>
      <c r="C515" s="151"/>
      <c r="D515" s="151"/>
      <c r="E515" s="151" t="s">
        <v>408</v>
      </c>
      <c r="F515" s="150">
        <v>35.085467999999999</v>
      </c>
      <c r="G515" s="151"/>
      <c r="H515" s="195" t="s">
        <v>409</v>
      </c>
      <c r="I515" s="195"/>
      <c r="J515" s="150">
        <v>156.83000000000001</v>
      </c>
    </row>
    <row r="516" spans="1:10" ht="14.4" thickBot="1" x14ac:dyDescent="0.3">
      <c r="A516" s="95"/>
      <c r="B516" s="95"/>
      <c r="C516" s="95"/>
      <c r="D516" s="95"/>
      <c r="E516" s="95"/>
      <c r="F516" s="95"/>
      <c r="G516" s="95" t="s">
        <v>410</v>
      </c>
      <c r="H516" s="152">
        <v>119.25</v>
      </c>
      <c r="I516" s="95" t="s">
        <v>411</v>
      </c>
      <c r="J516" s="96">
        <v>18701.98</v>
      </c>
    </row>
    <row r="517" spans="1:10" ht="14.4" thickTop="1" x14ac:dyDescent="0.25">
      <c r="A517" s="153"/>
      <c r="B517" s="153"/>
      <c r="C517" s="153"/>
      <c r="D517" s="153"/>
      <c r="E517" s="153"/>
      <c r="F517" s="153"/>
      <c r="G517" s="153"/>
      <c r="H517" s="153"/>
      <c r="I517" s="153"/>
      <c r="J517" s="153"/>
    </row>
    <row r="518" spans="1:10" x14ac:dyDescent="0.25">
      <c r="A518" s="100" t="s">
        <v>253</v>
      </c>
      <c r="B518" s="99" t="s">
        <v>82</v>
      </c>
      <c r="C518" s="100" t="s">
        <v>83</v>
      </c>
      <c r="D518" s="100" t="s">
        <v>1</v>
      </c>
      <c r="E518" s="193" t="s">
        <v>97</v>
      </c>
      <c r="F518" s="193"/>
      <c r="G518" s="101" t="s">
        <v>2</v>
      </c>
      <c r="H518" s="99" t="s">
        <v>3</v>
      </c>
      <c r="I518" s="99" t="s">
        <v>84</v>
      </c>
      <c r="J518" s="99" t="s">
        <v>86</v>
      </c>
    </row>
    <row r="519" spans="1:10" ht="26.4" x14ac:dyDescent="0.25">
      <c r="A519" s="143" t="s">
        <v>385</v>
      </c>
      <c r="B519" s="52" t="s">
        <v>335</v>
      </c>
      <c r="C519" s="143" t="s">
        <v>1373</v>
      </c>
      <c r="D519" s="143" t="s">
        <v>122</v>
      </c>
      <c r="E519" s="194">
        <v>54.03</v>
      </c>
      <c r="F519" s="194"/>
      <c r="G519" s="51" t="s">
        <v>6</v>
      </c>
      <c r="H519" s="144">
        <v>1</v>
      </c>
      <c r="I519" s="53">
        <v>14.38</v>
      </c>
      <c r="J519" s="53">
        <v>14.38</v>
      </c>
    </row>
    <row r="520" spans="1:10" ht="39.6" x14ac:dyDescent="0.25">
      <c r="A520" s="146" t="s">
        <v>386</v>
      </c>
      <c r="B520" s="145" t="s">
        <v>597</v>
      </c>
      <c r="C520" s="146" t="s">
        <v>1373</v>
      </c>
      <c r="D520" s="146" t="s">
        <v>598</v>
      </c>
      <c r="E520" s="197" t="s">
        <v>389</v>
      </c>
      <c r="F520" s="197"/>
      <c r="G520" s="147" t="s">
        <v>390</v>
      </c>
      <c r="H520" s="148">
        <v>6.0000000000000001E-3</v>
      </c>
      <c r="I520" s="149">
        <v>16.87</v>
      </c>
      <c r="J520" s="149">
        <v>0.1</v>
      </c>
    </row>
    <row r="521" spans="1:10" ht="39.6" x14ac:dyDescent="0.25">
      <c r="A521" s="146" t="s">
        <v>386</v>
      </c>
      <c r="B521" s="145" t="s">
        <v>762</v>
      </c>
      <c r="C521" s="146" t="s">
        <v>1373</v>
      </c>
      <c r="D521" s="146" t="s">
        <v>763</v>
      </c>
      <c r="E521" s="197" t="s">
        <v>395</v>
      </c>
      <c r="F521" s="197"/>
      <c r="G521" s="147" t="s">
        <v>28</v>
      </c>
      <c r="H521" s="148">
        <v>1.5</v>
      </c>
      <c r="I521" s="149">
        <v>8.58</v>
      </c>
      <c r="J521" s="149">
        <v>12.87</v>
      </c>
    </row>
    <row r="522" spans="1:10" ht="39.6" x14ac:dyDescent="0.25">
      <c r="A522" s="146" t="s">
        <v>386</v>
      </c>
      <c r="B522" s="145" t="s">
        <v>764</v>
      </c>
      <c r="C522" s="146" t="s">
        <v>1373</v>
      </c>
      <c r="D522" s="146" t="s">
        <v>765</v>
      </c>
      <c r="E522" s="197" t="s">
        <v>395</v>
      </c>
      <c r="F522" s="197"/>
      <c r="G522" s="147" t="s">
        <v>490</v>
      </c>
      <c r="H522" s="148">
        <v>6.0000000000000001E-3</v>
      </c>
      <c r="I522" s="149">
        <v>235.17</v>
      </c>
      <c r="J522" s="149">
        <v>1.41</v>
      </c>
    </row>
    <row r="523" spans="1:10" ht="39.6" x14ac:dyDescent="0.25">
      <c r="A523" s="151"/>
      <c r="B523" s="151"/>
      <c r="C523" s="151"/>
      <c r="D523" s="151"/>
      <c r="E523" s="151" t="s">
        <v>405</v>
      </c>
      <c r="F523" s="150">
        <v>0.1</v>
      </c>
      <c r="G523" s="151" t="s">
        <v>406</v>
      </c>
      <c r="H523" s="150">
        <v>0</v>
      </c>
      <c r="I523" s="151" t="s">
        <v>407</v>
      </c>
      <c r="J523" s="150">
        <v>0.1</v>
      </c>
    </row>
    <row r="524" spans="1:10" ht="39.6" x14ac:dyDescent="0.25">
      <c r="A524" s="151"/>
      <c r="B524" s="151"/>
      <c r="C524" s="151"/>
      <c r="D524" s="151"/>
      <c r="E524" s="151" t="s">
        <v>408</v>
      </c>
      <c r="F524" s="150">
        <v>4.1443159999999999</v>
      </c>
      <c r="G524" s="151"/>
      <c r="H524" s="195" t="s">
        <v>409</v>
      </c>
      <c r="I524" s="195"/>
      <c r="J524" s="150">
        <v>18.52</v>
      </c>
    </row>
    <row r="525" spans="1:10" ht="14.4" thickBot="1" x14ac:dyDescent="0.3">
      <c r="A525" s="95"/>
      <c r="B525" s="95"/>
      <c r="C525" s="95"/>
      <c r="D525" s="95"/>
      <c r="E525" s="95"/>
      <c r="F525" s="95"/>
      <c r="G525" s="95" t="s">
        <v>410</v>
      </c>
      <c r="H525" s="152">
        <v>795</v>
      </c>
      <c r="I525" s="95" t="s">
        <v>411</v>
      </c>
      <c r="J525" s="96">
        <v>14723.4</v>
      </c>
    </row>
    <row r="526" spans="1:10" ht="14.4" thickTop="1" x14ac:dyDescent="0.25">
      <c r="A526" s="153"/>
      <c r="B526" s="153"/>
      <c r="C526" s="153"/>
      <c r="D526" s="153"/>
      <c r="E526" s="153"/>
      <c r="F526" s="153"/>
      <c r="G526" s="153"/>
      <c r="H526" s="153"/>
      <c r="I526" s="153"/>
      <c r="J526" s="153"/>
    </row>
    <row r="527" spans="1:10" x14ac:dyDescent="0.25">
      <c r="A527" s="100" t="s">
        <v>256</v>
      </c>
      <c r="B527" s="99" t="s">
        <v>82</v>
      </c>
      <c r="C527" s="100" t="s">
        <v>83</v>
      </c>
      <c r="D527" s="100" t="s">
        <v>1</v>
      </c>
      <c r="E527" s="193" t="s">
        <v>97</v>
      </c>
      <c r="F527" s="193"/>
      <c r="G527" s="101" t="s">
        <v>2</v>
      </c>
      <c r="H527" s="99" t="s">
        <v>3</v>
      </c>
      <c r="I527" s="99" t="s">
        <v>84</v>
      </c>
      <c r="J527" s="99" t="s">
        <v>86</v>
      </c>
    </row>
    <row r="528" spans="1:10" ht="26.4" x14ac:dyDescent="0.25">
      <c r="A528" s="143" t="s">
        <v>385</v>
      </c>
      <c r="B528" s="52" t="s">
        <v>336</v>
      </c>
      <c r="C528" s="143" t="s">
        <v>87</v>
      </c>
      <c r="D528" s="143" t="s">
        <v>297</v>
      </c>
      <c r="E528" s="194" t="s">
        <v>619</v>
      </c>
      <c r="F528" s="194"/>
      <c r="G528" s="51" t="s">
        <v>6</v>
      </c>
      <c r="H528" s="144">
        <v>1</v>
      </c>
      <c r="I528" s="53">
        <v>2.89</v>
      </c>
      <c r="J528" s="53">
        <v>2.89</v>
      </c>
    </row>
    <row r="529" spans="1:10" ht="52.8" x14ac:dyDescent="0.25">
      <c r="A529" s="155" t="s">
        <v>413</v>
      </c>
      <c r="B529" s="154" t="s">
        <v>766</v>
      </c>
      <c r="C529" s="155" t="s">
        <v>87</v>
      </c>
      <c r="D529" s="155" t="s">
        <v>767</v>
      </c>
      <c r="E529" s="196" t="s">
        <v>506</v>
      </c>
      <c r="F529" s="196"/>
      <c r="G529" s="156" t="s">
        <v>126</v>
      </c>
      <c r="H529" s="157">
        <v>4.0000000000000002E-4</v>
      </c>
      <c r="I529" s="158">
        <v>249.87</v>
      </c>
      <c r="J529" s="158">
        <v>0.09</v>
      </c>
    </row>
    <row r="530" spans="1:10" ht="39.6" x14ac:dyDescent="0.25">
      <c r="A530" s="155" t="s">
        <v>413</v>
      </c>
      <c r="B530" s="154" t="s">
        <v>768</v>
      </c>
      <c r="C530" s="155" t="s">
        <v>87</v>
      </c>
      <c r="D530" s="155" t="s">
        <v>769</v>
      </c>
      <c r="E530" s="196" t="s">
        <v>506</v>
      </c>
      <c r="F530" s="196"/>
      <c r="G530" s="156" t="s">
        <v>126</v>
      </c>
      <c r="H530" s="157">
        <v>2E-3</v>
      </c>
      <c r="I530" s="158">
        <v>10.28</v>
      </c>
      <c r="J530" s="158">
        <v>0.02</v>
      </c>
    </row>
    <row r="531" spans="1:10" ht="39.6" x14ac:dyDescent="0.25">
      <c r="A531" s="155" t="s">
        <v>413</v>
      </c>
      <c r="B531" s="154" t="s">
        <v>758</v>
      </c>
      <c r="C531" s="155" t="s">
        <v>87</v>
      </c>
      <c r="D531" s="155" t="s">
        <v>759</v>
      </c>
      <c r="E531" s="196" t="s">
        <v>506</v>
      </c>
      <c r="F531" s="196"/>
      <c r="G531" s="156" t="s">
        <v>126</v>
      </c>
      <c r="H531" s="157">
        <v>1.6999999999999999E-3</v>
      </c>
      <c r="I531" s="158">
        <v>124.38</v>
      </c>
      <c r="J531" s="158">
        <v>0.21</v>
      </c>
    </row>
    <row r="532" spans="1:10" ht="39.6" x14ac:dyDescent="0.25">
      <c r="A532" s="155" t="s">
        <v>413</v>
      </c>
      <c r="B532" s="154" t="s">
        <v>770</v>
      </c>
      <c r="C532" s="155" t="s">
        <v>87</v>
      </c>
      <c r="D532" s="155" t="s">
        <v>771</v>
      </c>
      <c r="E532" s="196" t="s">
        <v>506</v>
      </c>
      <c r="F532" s="196"/>
      <c r="G532" s="156" t="s">
        <v>509</v>
      </c>
      <c r="H532" s="157">
        <v>4.0000000000000001E-3</v>
      </c>
      <c r="I532" s="158">
        <v>4.8899999999999997</v>
      </c>
      <c r="J532" s="158">
        <v>0.01</v>
      </c>
    </row>
    <row r="533" spans="1:10" ht="52.8" x14ac:dyDescent="0.25">
      <c r="A533" s="155" t="s">
        <v>413</v>
      </c>
      <c r="B533" s="154" t="s">
        <v>772</v>
      </c>
      <c r="C533" s="155" t="s">
        <v>87</v>
      </c>
      <c r="D533" s="155" t="s">
        <v>773</v>
      </c>
      <c r="E533" s="196" t="s">
        <v>506</v>
      </c>
      <c r="F533" s="196"/>
      <c r="G533" s="156" t="s">
        <v>509</v>
      </c>
      <c r="H533" s="157">
        <v>5.1000000000000004E-3</v>
      </c>
      <c r="I533" s="158">
        <v>61.31</v>
      </c>
      <c r="J533" s="158">
        <v>0.31</v>
      </c>
    </row>
    <row r="534" spans="1:10" ht="39.6" x14ac:dyDescent="0.25">
      <c r="A534" s="155" t="s">
        <v>413</v>
      </c>
      <c r="B534" s="154" t="s">
        <v>756</v>
      </c>
      <c r="C534" s="155" t="s">
        <v>87</v>
      </c>
      <c r="D534" s="155" t="s">
        <v>757</v>
      </c>
      <c r="E534" s="196" t="s">
        <v>506</v>
      </c>
      <c r="F534" s="196"/>
      <c r="G534" s="156" t="s">
        <v>509</v>
      </c>
      <c r="H534" s="157">
        <v>3.8E-3</v>
      </c>
      <c r="I534" s="158">
        <v>45.19</v>
      </c>
      <c r="J534" s="158">
        <v>0.17</v>
      </c>
    </row>
    <row r="535" spans="1:10" ht="39.6" x14ac:dyDescent="0.25">
      <c r="A535" s="155" t="s">
        <v>413</v>
      </c>
      <c r="B535" s="154" t="s">
        <v>510</v>
      </c>
      <c r="C535" s="155" t="s">
        <v>87</v>
      </c>
      <c r="D535" s="155" t="s">
        <v>511</v>
      </c>
      <c r="E535" s="196" t="s">
        <v>489</v>
      </c>
      <c r="F535" s="196"/>
      <c r="G535" s="156" t="s">
        <v>490</v>
      </c>
      <c r="H535" s="157">
        <v>5.4999999999999997E-3</v>
      </c>
      <c r="I535" s="158">
        <v>23.71</v>
      </c>
      <c r="J535" s="158">
        <v>0.13</v>
      </c>
    </row>
    <row r="536" spans="1:10" ht="26.4" x14ac:dyDescent="0.25">
      <c r="A536" s="146" t="s">
        <v>386</v>
      </c>
      <c r="B536" s="145" t="s">
        <v>774</v>
      </c>
      <c r="C536" s="146" t="s">
        <v>87</v>
      </c>
      <c r="D536" s="146" t="s">
        <v>775</v>
      </c>
      <c r="E536" s="197" t="s">
        <v>395</v>
      </c>
      <c r="F536" s="197"/>
      <c r="G536" s="147" t="s">
        <v>28</v>
      </c>
      <c r="H536" s="148">
        <v>0.45</v>
      </c>
      <c r="I536" s="149">
        <v>4.3499999999999996</v>
      </c>
      <c r="J536" s="149">
        <v>1.95</v>
      </c>
    </row>
    <row r="537" spans="1:10" ht="39.6" x14ac:dyDescent="0.25">
      <c r="A537" s="151"/>
      <c r="B537" s="151"/>
      <c r="C537" s="151"/>
      <c r="D537" s="151"/>
      <c r="E537" s="151" t="s">
        <v>405</v>
      </c>
      <c r="F537" s="150">
        <v>0.28999999999999998</v>
      </c>
      <c r="G537" s="151" t="s">
        <v>406</v>
      </c>
      <c r="H537" s="150">
        <v>0</v>
      </c>
      <c r="I537" s="151" t="s">
        <v>407</v>
      </c>
      <c r="J537" s="150">
        <v>0.28999999999999998</v>
      </c>
    </row>
    <row r="538" spans="1:10" ht="39.6" x14ac:dyDescent="0.25">
      <c r="A538" s="151"/>
      <c r="B538" s="151"/>
      <c r="C538" s="151"/>
      <c r="D538" s="151"/>
      <c r="E538" s="151" t="s">
        <v>408</v>
      </c>
      <c r="F538" s="150">
        <v>0.83289800000000003</v>
      </c>
      <c r="G538" s="151"/>
      <c r="H538" s="195" t="s">
        <v>409</v>
      </c>
      <c r="I538" s="195"/>
      <c r="J538" s="150">
        <v>3.72</v>
      </c>
    </row>
    <row r="539" spans="1:10" ht="14.4" thickBot="1" x14ac:dyDescent="0.3">
      <c r="A539" s="95"/>
      <c r="B539" s="95"/>
      <c r="C539" s="95"/>
      <c r="D539" s="95"/>
      <c r="E539" s="95"/>
      <c r="F539" s="95"/>
      <c r="G539" s="95" t="s">
        <v>410</v>
      </c>
      <c r="H539" s="152">
        <v>795</v>
      </c>
      <c r="I539" s="95" t="s">
        <v>411</v>
      </c>
      <c r="J539" s="96">
        <v>2957.4</v>
      </c>
    </row>
    <row r="540" spans="1:10" ht="14.4" thickTop="1" x14ac:dyDescent="0.25">
      <c r="A540" s="153"/>
      <c r="B540" s="153"/>
      <c r="C540" s="153"/>
      <c r="D540" s="153"/>
      <c r="E540" s="153"/>
      <c r="F540" s="153"/>
      <c r="G540" s="153"/>
      <c r="H540" s="153"/>
      <c r="I540" s="153"/>
      <c r="J540" s="153"/>
    </row>
    <row r="541" spans="1:10" x14ac:dyDescent="0.25">
      <c r="A541" s="100" t="s">
        <v>259</v>
      </c>
      <c r="B541" s="99" t="s">
        <v>82</v>
      </c>
      <c r="C541" s="100" t="s">
        <v>83</v>
      </c>
      <c r="D541" s="100" t="s">
        <v>1</v>
      </c>
      <c r="E541" s="193" t="s">
        <v>97</v>
      </c>
      <c r="F541" s="193"/>
      <c r="G541" s="101" t="s">
        <v>2</v>
      </c>
      <c r="H541" s="99" t="s">
        <v>3</v>
      </c>
      <c r="I541" s="99" t="s">
        <v>84</v>
      </c>
      <c r="J541" s="99" t="s">
        <v>86</v>
      </c>
    </row>
    <row r="542" spans="1:10" ht="39.6" x14ac:dyDescent="0.25">
      <c r="A542" s="143" t="s">
        <v>385</v>
      </c>
      <c r="B542" s="52" t="s">
        <v>337</v>
      </c>
      <c r="C542" s="143" t="s">
        <v>87</v>
      </c>
      <c r="D542" s="143" t="s">
        <v>298</v>
      </c>
      <c r="E542" s="194" t="s">
        <v>619</v>
      </c>
      <c r="F542" s="194"/>
      <c r="G542" s="51" t="s">
        <v>13</v>
      </c>
      <c r="H542" s="144">
        <v>1</v>
      </c>
      <c r="I542" s="53">
        <v>1260.3900000000001</v>
      </c>
      <c r="J542" s="53">
        <v>1260.3900000000001</v>
      </c>
    </row>
    <row r="543" spans="1:10" ht="39.6" x14ac:dyDescent="0.25">
      <c r="A543" s="155" t="s">
        <v>413</v>
      </c>
      <c r="B543" s="154" t="s">
        <v>776</v>
      </c>
      <c r="C543" s="155" t="s">
        <v>87</v>
      </c>
      <c r="D543" s="155" t="s">
        <v>777</v>
      </c>
      <c r="E543" s="196" t="s">
        <v>506</v>
      </c>
      <c r="F543" s="196"/>
      <c r="G543" s="156" t="s">
        <v>126</v>
      </c>
      <c r="H543" s="157">
        <v>3.3099999999999997E-2</v>
      </c>
      <c r="I543" s="158">
        <v>384.56</v>
      </c>
      <c r="J543" s="158">
        <v>12.72</v>
      </c>
    </row>
    <row r="544" spans="1:10" ht="39.6" x14ac:dyDescent="0.25">
      <c r="A544" s="155" t="s">
        <v>413</v>
      </c>
      <c r="B544" s="154" t="s">
        <v>782</v>
      </c>
      <c r="C544" s="155" t="s">
        <v>87</v>
      </c>
      <c r="D544" s="155" t="s">
        <v>783</v>
      </c>
      <c r="E544" s="196" t="s">
        <v>506</v>
      </c>
      <c r="F544" s="196"/>
      <c r="G544" s="156" t="s">
        <v>509</v>
      </c>
      <c r="H544" s="157">
        <v>6.7799999999999999E-2</v>
      </c>
      <c r="I544" s="158">
        <v>144.75</v>
      </c>
      <c r="J544" s="158">
        <v>9.81</v>
      </c>
    </row>
    <row r="545" spans="1:10" ht="39.6" x14ac:dyDescent="0.25">
      <c r="A545" s="155" t="s">
        <v>413</v>
      </c>
      <c r="B545" s="154" t="s">
        <v>790</v>
      </c>
      <c r="C545" s="155" t="s">
        <v>87</v>
      </c>
      <c r="D545" s="155" t="s">
        <v>791</v>
      </c>
      <c r="E545" s="196" t="s">
        <v>489</v>
      </c>
      <c r="F545" s="196"/>
      <c r="G545" s="156" t="s">
        <v>490</v>
      </c>
      <c r="H545" s="157">
        <v>0.80720000000000003</v>
      </c>
      <c r="I545" s="158">
        <v>22.34</v>
      </c>
      <c r="J545" s="158">
        <v>18.03</v>
      </c>
    </row>
    <row r="546" spans="1:10" ht="52.8" x14ac:dyDescent="0.25">
      <c r="A546" s="155" t="s">
        <v>413</v>
      </c>
      <c r="B546" s="154" t="s">
        <v>784</v>
      </c>
      <c r="C546" s="155" t="s">
        <v>87</v>
      </c>
      <c r="D546" s="155" t="s">
        <v>785</v>
      </c>
      <c r="E546" s="196" t="s">
        <v>506</v>
      </c>
      <c r="F546" s="196"/>
      <c r="G546" s="156" t="s">
        <v>126</v>
      </c>
      <c r="H546" s="157">
        <v>3.3099999999999997E-2</v>
      </c>
      <c r="I546" s="158">
        <v>252.89</v>
      </c>
      <c r="J546" s="158">
        <v>8.3699999999999992</v>
      </c>
    </row>
    <row r="547" spans="1:10" ht="39.6" x14ac:dyDescent="0.25">
      <c r="A547" s="155" t="s">
        <v>413</v>
      </c>
      <c r="B547" s="154" t="s">
        <v>780</v>
      </c>
      <c r="C547" s="155" t="s">
        <v>87</v>
      </c>
      <c r="D547" s="155" t="s">
        <v>781</v>
      </c>
      <c r="E547" s="196" t="s">
        <v>506</v>
      </c>
      <c r="F547" s="196"/>
      <c r="G547" s="156" t="s">
        <v>126</v>
      </c>
      <c r="H547" s="157">
        <v>5.7500000000000002E-2</v>
      </c>
      <c r="I547" s="158">
        <v>230.49</v>
      </c>
      <c r="J547" s="158">
        <v>13.25</v>
      </c>
    </row>
    <row r="548" spans="1:10" ht="39.6" x14ac:dyDescent="0.25">
      <c r="A548" s="155" t="s">
        <v>413</v>
      </c>
      <c r="B548" s="154" t="s">
        <v>786</v>
      </c>
      <c r="C548" s="155" t="s">
        <v>87</v>
      </c>
      <c r="D548" s="155" t="s">
        <v>787</v>
      </c>
      <c r="E548" s="196" t="s">
        <v>506</v>
      </c>
      <c r="F548" s="196"/>
      <c r="G548" s="156" t="s">
        <v>509</v>
      </c>
      <c r="H548" s="157">
        <v>4.3400000000000001E-2</v>
      </c>
      <c r="I548" s="158">
        <v>83.11</v>
      </c>
      <c r="J548" s="158">
        <v>3.6</v>
      </c>
    </row>
    <row r="549" spans="1:10" ht="39.6" x14ac:dyDescent="0.25">
      <c r="A549" s="155" t="s">
        <v>413</v>
      </c>
      <c r="B549" s="154" t="s">
        <v>788</v>
      </c>
      <c r="C549" s="155" t="s">
        <v>87</v>
      </c>
      <c r="D549" s="155" t="s">
        <v>789</v>
      </c>
      <c r="E549" s="196" t="s">
        <v>506</v>
      </c>
      <c r="F549" s="196"/>
      <c r="G549" s="156" t="s">
        <v>509</v>
      </c>
      <c r="H549" s="157">
        <v>6.6799999999999998E-2</v>
      </c>
      <c r="I549" s="158">
        <v>49.86</v>
      </c>
      <c r="J549" s="158">
        <v>3.33</v>
      </c>
    </row>
    <row r="550" spans="1:10" ht="39.6" x14ac:dyDescent="0.25">
      <c r="A550" s="155" t="s">
        <v>413</v>
      </c>
      <c r="B550" s="154" t="s">
        <v>778</v>
      </c>
      <c r="C550" s="155" t="s">
        <v>87</v>
      </c>
      <c r="D550" s="155" t="s">
        <v>779</v>
      </c>
      <c r="E550" s="196" t="s">
        <v>506</v>
      </c>
      <c r="F550" s="196"/>
      <c r="G550" s="156" t="s">
        <v>126</v>
      </c>
      <c r="H550" s="157">
        <v>3.4099999999999998E-2</v>
      </c>
      <c r="I550" s="158">
        <v>133.54</v>
      </c>
      <c r="J550" s="158">
        <v>4.55</v>
      </c>
    </row>
    <row r="551" spans="1:10" ht="39.6" x14ac:dyDescent="0.25">
      <c r="A551" s="155" t="s">
        <v>413</v>
      </c>
      <c r="B551" s="154" t="s">
        <v>750</v>
      </c>
      <c r="C551" s="155" t="s">
        <v>87</v>
      </c>
      <c r="D551" s="155" t="s">
        <v>751</v>
      </c>
      <c r="E551" s="196" t="s">
        <v>506</v>
      </c>
      <c r="F551" s="196"/>
      <c r="G551" s="156" t="s">
        <v>126</v>
      </c>
      <c r="H551" s="157">
        <v>2.9899999999999999E-2</v>
      </c>
      <c r="I551" s="158">
        <v>219.9</v>
      </c>
      <c r="J551" s="158">
        <v>6.57</v>
      </c>
    </row>
    <row r="552" spans="1:10" ht="39.6" x14ac:dyDescent="0.25">
      <c r="A552" s="155" t="s">
        <v>413</v>
      </c>
      <c r="B552" s="154" t="s">
        <v>752</v>
      </c>
      <c r="C552" s="155" t="s">
        <v>87</v>
      </c>
      <c r="D552" s="155" t="s">
        <v>753</v>
      </c>
      <c r="E552" s="196" t="s">
        <v>506</v>
      </c>
      <c r="F552" s="196"/>
      <c r="G552" s="156" t="s">
        <v>509</v>
      </c>
      <c r="H552" s="157">
        <v>7.0999999999999994E-2</v>
      </c>
      <c r="I552" s="158">
        <v>89.43</v>
      </c>
      <c r="J552" s="158">
        <v>6.34</v>
      </c>
    </row>
    <row r="553" spans="1:10" ht="39.6" x14ac:dyDescent="0.25">
      <c r="A553" s="146" t="s">
        <v>386</v>
      </c>
      <c r="B553" s="145" t="s">
        <v>792</v>
      </c>
      <c r="C553" s="146" t="s">
        <v>87</v>
      </c>
      <c r="D553" s="146" t="s">
        <v>793</v>
      </c>
      <c r="E553" s="197" t="s">
        <v>395</v>
      </c>
      <c r="F553" s="197"/>
      <c r="G553" s="147" t="s">
        <v>794</v>
      </c>
      <c r="H553" s="148">
        <v>2.5548000000000002</v>
      </c>
      <c r="I553" s="149">
        <v>459.46</v>
      </c>
      <c r="J553" s="149">
        <v>1173.82</v>
      </c>
    </row>
    <row r="554" spans="1:10" ht="39.6" x14ac:dyDescent="0.25">
      <c r="A554" s="151"/>
      <c r="B554" s="151"/>
      <c r="C554" s="151"/>
      <c r="D554" s="151"/>
      <c r="E554" s="151" t="s">
        <v>405</v>
      </c>
      <c r="F554" s="150">
        <v>21.68</v>
      </c>
      <c r="G554" s="151" t="s">
        <v>406</v>
      </c>
      <c r="H554" s="150">
        <v>0</v>
      </c>
      <c r="I554" s="151" t="s">
        <v>407</v>
      </c>
      <c r="J554" s="150">
        <v>21.68</v>
      </c>
    </row>
    <row r="555" spans="1:10" ht="39.6" x14ac:dyDescent="0.25">
      <c r="A555" s="151"/>
      <c r="B555" s="151"/>
      <c r="C555" s="151"/>
      <c r="D555" s="151"/>
      <c r="E555" s="151" t="s">
        <v>408</v>
      </c>
      <c r="F555" s="150">
        <v>363.24439799999999</v>
      </c>
      <c r="G555" s="151"/>
      <c r="H555" s="195" t="s">
        <v>409</v>
      </c>
      <c r="I555" s="195"/>
      <c r="J555" s="150">
        <v>1623.63</v>
      </c>
    </row>
    <row r="556" spans="1:10" ht="14.4" thickBot="1" x14ac:dyDescent="0.3">
      <c r="A556" s="95"/>
      <c r="B556" s="95"/>
      <c r="C556" s="95"/>
      <c r="D556" s="95"/>
      <c r="E556" s="95"/>
      <c r="F556" s="95"/>
      <c r="G556" s="95" t="s">
        <v>410</v>
      </c>
      <c r="H556" s="152">
        <v>31.8</v>
      </c>
      <c r="I556" s="95" t="s">
        <v>411</v>
      </c>
      <c r="J556" s="96">
        <v>51631.43</v>
      </c>
    </row>
    <row r="557" spans="1:10" ht="14.4" thickTop="1" x14ac:dyDescent="0.25">
      <c r="A557" s="153"/>
      <c r="B557" s="153"/>
      <c r="C557" s="153"/>
      <c r="D557" s="153"/>
      <c r="E557" s="153"/>
      <c r="F557" s="153"/>
      <c r="G557" s="153"/>
      <c r="H557" s="153"/>
      <c r="I557" s="153"/>
      <c r="J557" s="153"/>
    </row>
    <row r="558" spans="1:10" x14ac:dyDescent="0.25">
      <c r="A558" s="100" t="s">
        <v>338</v>
      </c>
      <c r="B558" s="99" t="s">
        <v>82</v>
      </c>
      <c r="C558" s="100" t="s">
        <v>83</v>
      </c>
      <c r="D558" s="100" t="s">
        <v>1</v>
      </c>
      <c r="E558" s="193" t="s">
        <v>97</v>
      </c>
      <c r="F558" s="193"/>
      <c r="G558" s="101" t="s">
        <v>2</v>
      </c>
      <c r="H558" s="99" t="s">
        <v>3</v>
      </c>
      <c r="I558" s="99" t="s">
        <v>84</v>
      </c>
      <c r="J558" s="99" t="s">
        <v>86</v>
      </c>
    </row>
    <row r="559" spans="1:10" ht="39.6" x14ac:dyDescent="0.25">
      <c r="A559" s="143" t="s">
        <v>385</v>
      </c>
      <c r="B559" s="52" t="s">
        <v>339</v>
      </c>
      <c r="C559" s="143" t="s">
        <v>87</v>
      </c>
      <c r="D559" s="143" t="s">
        <v>299</v>
      </c>
      <c r="E559" s="194" t="s">
        <v>619</v>
      </c>
      <c r="F559" s="194"/>
      <c r="G559" s="51" t="s">
        <v>13</v>
      </c>
      <c r="H559" s="144">
        <v>1</v>
      </c>
      <c r="I559" s="53">
        <v>1458.79</v>
      </c>
      <c r="J559" s="53">
        <v>1458.79</v>
      </c>
    </row>
    <row r="560" spans="1:10" ht="39.6" x14ac:dyDescent="0.25">
      <c r="A560" s="155" t="s">
        <v>413</v>
      </c>
      <c r="B560" s="154" t="s">
        <v>776</v>
      </c>
      <c r="C560" s="155" t="s">
        <v>87</v>
      </c>
      <c r="D560" s="155" t="s">
        <v>777</v>
      </c>
      <c r="E560" s="196" t="s">
        <v>506</v>
      </c>
      <c r="F560" s="196"/>
      <c r="G560" s="156" t="s">
        <v>126</v>
      </c>
      <c r="H560" s="157">
        <v>4.6399999999999997E-2</v>
      </c>
      <c r="I560" s="158">
        <v>384.56</v>
      </c>
      <c r="J560" s="158">
        <v>17.84</v>
      </c>
    </row>
    <row r="561" spans="1:10" ht="39.6" x14ac:dyDescent="0.25">
      <c r="A561" s="155" t="s">
        <v>413</v>
      </c>
      <c r="B561" s="154" t="s">
        <v>782</v>
      </c>
      <c r="C561" s="155" t="s">
        <v>87</v>
      </c>
      <c r="D561" s="155" t="s">
        <v>783</v>
      </c>
      <c r="E561" s="196" t="s">
        <v>506</v>
      </c>
      <c r="F561" s="196"/>
      <c r="G561" s="156" t="s">
        <v>509</v>
      </c>
      <c r="H561" s="157">
        <v>9.4899999999999998E-2</v>
      </c>
      <c r="I561" s="158">
        <v>144.75</v>
      </c>
      <c r="J561" s="158">
        <v>13.73</v>
      </c>
    </row>
    <row r="562" spans="1:10" ht="39.6" x14ac:dyDescent="0.25">
      <c r="A562" s="155" t="s">
        <v>413</v>
      </c>
      <c r="B562" s="154" t="s">
        <v>790</v>
      </c>
      <c r="C562" s="155" t="s">
        <v>87</v>
      </c>
      <c r="D562" s="155" t="s">
        <v>791</v>
      </c>
      <c r="E562" s="196" t="s">
        <v>489</v>
      </c>
      <c r="F562" s="196"/>
      <c r="G562" s="156" t="s">
        <v>490</v>
      </c>
      <c r="H562" s="157">
        <v>1.1301000000000001</v>
      </c>
      <c r="I562" s="158">
        <v>22.34</v>
      </c>
      <c r="J562" s="158">
        <v>25.24</v>
      </c>
    </row>
    <row r="563" spans="1:10" ht="52.8" x14ac:dyDescent="0.25">
      <c r="A563" s="155" t="s">
        <v>413</v>
      </c>
      <c r="B563" s="154" t="s">
        <v>784</v>
      </c>
      <c r="C563" s="155" t="s">
        <v>87</v>
      </c>
      <c r="D563" s="155" t="s">
        <v>785</v>
      </c>
      <c r="E563" s="196" t="s">
        <v>506</v>
      </c>
      <c r="F563" s="196"/>
      <c r="G563" s="156" t="s">
        <v>126</v>
      </c>
      <c r="H563" s="157">
        <v>4.6399999999999997E-2</v>
      </c>
      <c r="I563" s="158">
        <v>252.89</v>
      </c>
      <c r="J563" s="158">
        <v>11.73</v>
      </c>
    </row>
    <row r="564" spans="1:10" ht="39.6" x14ac:dyDescent="0.25">
      <c r="A564" s="155" t="s">
        <v>413</v>
      </c>
      <c r="B564" s="154" t="s">
        <v>780</v>
      </c>
      <c r="C564" s="155" t="s">
        <v>87</v>
      </c>
      <c r="D564" s="155" t="s">
        <v>781</v>
      </c>
      <c r="E564" s="196" t="s">
        <v>506</v>
      </c>
      <c r="F564" s="196"/>
      <c r="G564" s="156" t="s">
        <v>126</v>
      </c>
      <c r="H564" s="157">
        <v>8.0500000000000002E-2</v>
      </c>
      <c r="I564" s="158">
        <v>230.49</v>
      </c>
      <c r="J564" s="158">
        <v>18.55</v>
      </c>
    </row>
    <row r="565" spans="1:10" ht="39.6" x14ac:dyDescent="0.25">
      <c r="A565" s="155" t="s">
        <v>413</v>
      </c>
      <c r="B565" s="154" t="s">
        <v>786</v>
      </c>
      <c r="C565" s="155" t="s">
        <v>87</v>
      </c>
      <c r="D565" s="155" t="s">
        <v>787</v>
      </c>
      <c r="E565" s="196" t="s">
        <v>506</v>
      </c>
      <c r="F565" s="196"/>
      <c r="G565" s="156" t="s">
        <v>509</v>
      </c>
      <c r="H565" s="157">
        <v>6.0699999999999997E-2</v>
      </c>
      <c r="I565" s="158">
        <v>83.11</v>
      </c>
      <c r="J565" s="158">
        <v>5.04</v>
      </c>
    </row>
    <row r="566" spans="1:10" ht="39.6" x14ac:dyDescent="0.25">
      <c r="A566" s="155" t="s">
        <v>413</v>
      </c>
      <c r="B566" s="154" t="s">
        <v>788</v>
      </c>
      <c r="C566" s="155" t="s">
        <v>87</v>
      </c>
      <c r="D566" s="155" t="s">
        <v>789</v>
      </c>
      <c r="E566" s="196" t="s">
        <v>506</v>
      </c>
      <c r="F566" s="196"/>
      <c r="G566" s="156" t="s">
        <v>509</v>
      </c>
      <c r="H566" s="157">
        <v>0.1071</v>
      </c>
      <c r="I566" s="158">
        <v>49.86</v>
      </c>
      <c r="J566" s="158">
        <v>5.34</v>
      </c>
    </row>
    <row r="567" spans="1:10" ht="39.6" x14ac:dyDescent="0.25">
      <c r="A567" s="155" t="s">
        <v>413</v>
      </c>
      <c r="B567" s="154" t="s">
        <v>778</v>
      </c>
      <c r="C567" s="155" t="s">
        <v>87</v>
      </c>
      <c r="D567" s="155" t="s">
        <v>779</v>
      </c>
      <c r="E567" s="196" t="s">
        <v>506</v>
      </c>
      <c r="F567" s="196"/>
      <c r="G567" s="156" t="s">
        <v>126</v>
      </c>
      <c r="H567" s="157">
        <v>3.4099999999999998E-2</v>
      </c>
      <c r="I567" s="158">
        <v>133.54</v>
      </c>
      <c r="J567" s="158">
        <v>4.55</v>
      </c>
    </row>
    <row r="568" spans="1:10" ht="39.6" x14ac:dyDescent="0.25">
      <c r="A568" s="155" t="s">
        <v>413</v>
      </c>
      <c r="B568" s="154" t="s">
        <v>750</v>
      </c>
      <c r="C568" s="155" t="s">
        <v>87</v>
      </c>
      <c r="D568" s="155" t="s">
        <v>751</v>
      </c>
      <c r="E568" s="196" t="s">
        <v>506</v>
      </c>
      <c r="F568" s="196"/>
      <c r="G568" s="156" t="s">
        <v>126</v>
      </c>
      <c r="H568" s="157">
        <v>4.19E-2</v>
      </c>
      <c r="I568" s="158">
        <v>219.9</v>
      </c>
      <c r="J568" s="158">
        <v>9.2100000000000009</v>
      </c>
    </row>
    <row r="569" spans="1:10" ht="39.6" x14ac:dyDescent="0.25">
      <c r="A569" s="155" t="s">
        <v>413</v>
      </c>
      <c r="B569" s="154" t="s">
        <v>752</v>
      </c>
      <c r="C569" s="155" t="s">
        <v>87</v>
      </c>
      <c r="D569" s="155" t="s">
        <v>753</v>
      </c>
      <c r="E569" s="196" t="s">
        <v>506</v>
      </c>
      <c r="F569" s="196"/>
      <c r="G569" s="156" t="s">
        <v>509</v>
      </c>
      <c r="H569" s="157">
        <v>9.9000000000000005E-2</v>
      </c>
      <c r="I569" s="158">
        <v>89.43</v>
      </c>
      <c r="J569" s="158">
        <v>8.85</v>
      </c>
    </row>
    <row r="570" spans="1:10" ht="39.6" x14ac:dyDescent="0.25">
      <c r="A570" s="146" t="s">
        <v>386</v>
      </c>
      <c r="B570" s="145" t="s">
        <v>795</v>
      </c>
      <c r="C570" s="146" t="s">
        <v>87</v>
      </c>
      <c r="D570" s="146" t="s">
        <v>796</v>
      </c>
      <c r="E570" s="197" t="s">
        <v>395</v>
      </c>
      <c r="F570" s="197"/>
      <c r="G570" s="147" t="s">
        <v>794</v>
      </c>
      <c r="H570" s="148">
        <v>2.5548000000000002</v>
      </c>
      <c r="I570" s="149">
        <v>524</v>
      </c>
      <c r="J570" s="149">
        <v>1338.71</v>
      </c>
    </row>
    <row r="571" spans="1:10" ht="39.6" x14ac:dyDescent="0.25">
      <c r="A571" s="151"/>
      <c r="B571" s="151"/>
      <c r="C571" s="151"/>
      <c r="D571" s="151"/>
      <c r="E571" s="151" t="s">
        <v>405</v>
      </c>
      <c r="F571" s="150">
        <v>30.37</v>
      </c>
      <c r="G571" s="151" t="s">
        <v>406</v>
      </c>
      <c r="H571" s="150">
        <v>0</v>
      </c>
      <c r="I571" s="151" t="s">
        <v>407</v>
      </c>
      <c r="J571" s="150">
        <v>30.37</v>
      </c>
    </row>
    <row r="572" spans="1:10" ht="39.6" x14ac:dyDescent="0.25">
      <c r="A572" s="151"/>
      <c r="B572" s="151"/>
      <c r="C572" s="151"/>
      <c r="D572" s="151"/>
      <c r="E572" s="151" t="s">
        <v>408</v>
      </c>
      <c r="F572" s="150">
        <v>420.42327799999998</v>
      </c>
      <c r="G572" s="151"/>
      <c r="H572" s="195" t="s">
        <v>409</v>
      </c>
      <c r="I572" s="195"/>
      <c r="J572" s="150">
        <v>1879.21</v>
      </c>
    </row>
    <row r="573" spans="1:10" ht="14.4" thickBot="1" x14ac:dyDescent="0.3">
      <c r="A573" s="95"/>
      <c r="B573" s="95"/>
      <c r="C573" s="95"/>
      <c r="D573" s="95"/>
      <c r="E573" s="95"/>
      <c r="F573" s="95"/>
      <c r="G573" s="95" t="s">
        <v>410</v>
      </c>
      <c r="H573" s="152">
        <v>23.85</v>
      </c>
      <c r="I573" s="95" t="s">
        <v>411</v>
      </c>
      <c r="J573" s="96">
        <v>44819.16</v>
      </c>
    </row>
    <row r="574" spans="1:10" ht="14.4" thickTop="1" x14ac:dyDescent="0.25">
      <c r="A574" s="153"/>
      <c r="B574" s="153"/>
      <c r="C574" s="153"/>
      <c r="D574" s="153"/>
      <c r="E574" s="153"/>
      <c r="F574" s="153"/>
      <c r="G574" s="153"/>
      <c r="H574" s="153"/>
      <c r="I574" s="153"/>
      <c r="J574" s="153"/>
    </row>
    <row r="575" spans="1:10" x14ac:dyDescent="0.25">
      <c r="A575" s="100" t="s">
        <v>340</v>
      </c>
      <c r="B575" s="99" t="s">
        <v>82</v>
      </c>
      <c r="C575" s="100" t="s">
        <v>83</v>
      </c>
      <c r="D575" s="100" t="s">
        <v>1</v>
      </c>
      <c r="E575" s="193" t="s">
        <v>97</v>
      </c>
      <c r="F575" s="193"/>
      <c r="G575" s="101" t="s">
        <v>2</v>
      </c>
      <c r="H575" s="99" t="s">
        <v>3</v>
      </c>
      <c r="I575" s="99" t="s">
        <v>84</v>
      </c>
      <c r="J575" s="99" t="s">
        <v>86</v>
      </c>
    </row>
    <row r="576" spans="1:10" ht="52.8" x14ac:dyDescent="0.25">
      <c r="A576" s="143" t="s">
        <v>385</v>
      </c>
      <c r="B576" s="52" t="s">
        <v>257</v>
      </c>
      <c r="C576" s="143" t="s">
        <v>87</v>
      </c>
      <c r="D576" s="143" t="s">
        <v>258</v>
      </c>
      <c r="E576" s="194" t="s">
        <v>518</v>
      </c>
      <c r="F576" s="194"/>
      <c r="G576" s="51" t="s">
        <v>13</v>
      </c>
      <c r="H576" s="144">
        <v>1</v>
      </c>
      <c r="I576" s="53">
        <v>8.33</v>
      </c>
      <c r="J576" s="53">
        <v>8.33</v>
      </c>
    </row>
    <row r="577" spans="1:10" ht="39.6" x14ac:dyDescent="0.25">
      <c r="A577" s="155" t="s">
        <v>413</v>
      </c>
      <c r="B577" s="154" t="s">
        <v>516</v>
      </c>
      <c r="C577" s="155" t="s">
        <v>87</v>
      </c>
      <c r="D577" s="155" t="s">
        <v>517</v>
      </c>
      <c r="E577" s="196" t="s">
        <v>506</v>
      </c>
      <c r="F577" s="196"/>
      <c r="G577" s="156" t="s">
        <v>126</v>
      </c>
      <c r="H577" s="157">
        <v>8.3000000000000001E-3</v>
      </c>
      <c r="I577" s="158">
        <v>175.9</v>
      </c>
      <c r="J577" s="158">
        <v>1.45</v>
      </c>
    </row>
    <row r="578" spans="1:10" ht="39.6" x14ac:dyDescent="0.25">
      <c r="A578" s="155" t="s">
        <v>413</v>
      </c>
      <c r="B578" s="154" t="s">
        <v>797</v>
      </c>
      <c r="C578" s="155" t="s">
        <v>87</v>
      </c>
      <c r="D578" s="155" t="s">
        <v>798</v>
      </c>
      <c r="E578" s="196" t="s">
        <v>506</v>
      </c>
      <c r="F578" s="196"/>
      <c r="G578" s="156" t="s">
        <v>509</v>
      </c>
      <c r="H578" s="157">
        <v>1.5100000000000001E-2</v>
      </c>
      <c r="I578" s="158">
        <v>68.040000000000006</v>
      </c>
      <c r="J578" s="158">
        <v>1.02</v>
      </c>
    </row>
    <row r="579" spans="1:10" ht="52.8" x14ac:dyDescent="0.25">
      <c r="A579" s="155" t="s">
        <v>413</v>
      </c>
      <c r="B579" s="154" t="s">
        <v>519</v>
      </c>
      <c r="C579" s="155" t="s">
        <v>87</v>
      </c>
      <c r="D579" s="155" t="s">
        <v>520</v>
      </c>
      <c r="E579" s="196" t="s">
        <v>506</v>
      </c>
      <c r="F579" s="196"/>
      <c r="G579" s="156" t="s">
        <v>126</v>
      </c>
      <c r="H579" s="157">
        <v>2.6700000000000002E-2</v>
      </c>
      <c r="I579" s="158">
        <v>176.31</v>
      </c>
      <c r="J579" s="158">
        <v>4.7</v>
      </c>
    </row>
    <row r="580" spans="1:10" ht="52.8" x14ac:dyDescent="0.25">
      <c r="A580" s="155" t="s">
        <v>413</v>
      </c>
      <c r="B580" s="154" t="s">
        <v>521</v>
      </c>
      <c r="C580" s="155" t="s">
        <v>87</v>
      </c>
      <c r="D580" s="155" t="s">
        <v>522</v>
      </c>
      <c r="E580" s="196" t="s">
        <v>506</v>
      </c>
      <c r="F580" s="196"/>
      <c r="G580" s="156" t="s">
        <v>509</v>
      </c>
      <c r="H580" s="157">
        <v>2.0299999999999999E-2</v>
      </c>
      <c r="I580" s="158">
        <v>57.32</v>
      </c>
      <c r="J580" s="158">
        <v>1.1599999999999999</v>
      </c>
    </row>
    <row r="581" spans="1:10" ht="39.6" x14ac:dyDescent="0.25">
      <c r="A581" s="151"/>
      <c r="B581" s="151"/>
      <c r="C581" s="151"/>
      <c r="D581" s="151"/>
      <c r="E581" s="151" t="s">
        <v>405</v>
      </c>
      <c r="F581" s="150">
        <v>1.34</v>
      </c>
      <c r="G581" s="151" t="s">
        <v>406</v>
      </c>
      <c r="H581" s="150">
        <v>0</v>
      </c>
      <c r="I581" s="151" t="s">
        <v>407</v>
      </c>
      <c r="J581" s="150">
        <v>1.34</v>
      </c>
    </row>
    <row r="582" spans="1:10" ht="39.6" x14ac:dyDescent="0.25">
      <c r="A582" s="151"/>
      <c r="B582" s="151"/>
      <c r="C582" s="151"/>
      <c r="D582" s="151"/>
      <c r="E582" s="151" t="s">
        <v>408</v>
      </c>
      <c r="F582" s="150">
        <v>2.400706</v>
      </c>
      <c r="G582" s="151"/>
      <c r="H582" s="195" t="s">
        <v>409</v>
      </c>
      <c r="I582" s="195"/>
      <c r="J582" s="150">
        <v>10.73</v>
      </c>
    </row>
    <row r="583" spans="1:10" ht="14.4" thickBot="1" x14ac:dyDescent="0.3">
      <c r="A583" s="95"/>
      <c r="B583" s="95"/>
      <c r="C583" s="95"/>
      <c r="D583" s="95"/>
      <c r="E583" s="95"/>
      <c r="F583" s="95"/>
      <c r="G583" s="95" t="s">
        <v>410</v>
      </c>
      <c r="H583" s="152">
        <v>174.9</v>
      </c>
      <c r="I583" s="95" t="s">
        <v>411</v>
      </c>
      <c r="J583" s="96">
        <v>1876.68</v>
      </c>
    </row>
    <row r="584" spans="1:10" ht="14.4" thickTop="1" x14ac:dyDescent="0.25">
      <c r="A584" s="153"/>
      <c r="B584" s="153"/>
      <c r="C584" s="153"/>
      <c r="D584" s="153"/>
      <c r="E584" s="153"/>
      <c r="F584" s="153"/>
      <c r="G584" s="153"/>
      <c r="H584" s="153"/>
      <c r="I584" s="153"/>
      <c r="J584" s="153"/>
    </row>
    <row r="585" spans="1:10" x14ac:dyDescent="0.25">
      <c r="A585" s="100" t="s">
        <v>341</v>
      </c>
      <c r="B585" s="99" t="s">
        <v>82</v>
      </c>
      <c r="C585" s="100" t="s">
        <v>83</v>
      </c>
      <c r="D585" s="100" t="s">
        <v>1</v>
      </c>
      <c r="E585" s="193" t="s">
        <v>97</v>
      </c>
      <c r="F585" s="193"/>
      <c r="G585" s="101" t="s">
        <v>2</v>
      </c>
      <c r="H585" s="99" t="s">
        <v>3</v>
      </c>
      <c r="I585" s="99" t="s">
        <v>84</v>
      </c>
      <c r="J585" s="99" t="s">
        <v>86</v>
      </c>
    </row>
    <row r="586" spans="1:10" ht="26.4" x14ac:dyDescent="0.25">
      <c r="A586" s="143" t="s">
        <v>385</v>
      </c>
      <c r="B586" s="52" t="s">
        <v>260</v>
      </c>
      <c r="C586" s="143" t="s">
        <v>87</v>
      </c>
      <c r="D586" s="143" t="s">
        <v>261</v>
      </c>
      <c r="E586" s="194" t="s">
        <v>483</v>
      </c>
      <c r="F586" s="194"/>
      <c r="G586" s="51" t="s">
        <v>163</v>
      </c>
      <c r="H586" s="144">
        <v>1</v>
      </c>
      <c r="I586" s="53">
        <v>1.28</v>
      </c>
      <c r="J586" s="53">
        <v>1.28</v>
      </c>
    </row>
    <row r="587" spans="1:10" ht="39.6" x14ac:dyDescent="0.25">
      <c r="A587" s="155" t="s">
        <v>413</v>
      </c>
      <c r="B587" s="154" t="s">
        <v>514</v>
      </c>
      <c r="C587" s="155" t="s">
        <v>87</v>
      </c>
      <c r="D587" s="155" t="s">
        <v>515</v>
      </c>
      <c r="E587" s="196" t="s">
        <v>506</v>
      </c>
      <c r="F587" s="196"/>
      <c r="G587" s="156" t="s">
        <v>126</v>
      </c>
      <c r="H587" s="157">
        <v>6.7000000000000002E-3</v>
      </c>
      <c r="I587" s="158">
        <v>192.34</v>
      </c>
      <c r="J587" s="158">
        <v>1.28</v>
      </c>
    </row>
    <row r="588" spans="1:10" ht="39.6" x14ac:dyDescent="0.25">
      <c r="A588" s="151"/>
      <c r="B588" s="151"/>
      <c r="C588" s="151"/>
      <c r="D588" s="151"/>
      <c r="E588" s="151" t="s">
        <v>405</v>
      </c>
      <c r="F588" s="150">
        <v>0.12</v>
      </c>
      <c r="G588" s="151" t="s">
        <v>406</v>
      </c>
      <c r="H588" s="150">
        <v>0</v>
      </c>
      <c r="I588" s="151" t="s">
        <v>407</v>
      </c>
      <c r="J588" s="150">
        <v>0.12</v>
      </c>
    </row>
    <row r="589" spans="1:10" ht="39.6" x14ac:dyDescent="0.25">
      <c r="A589" s="151"/>
      <c r="B589" s="151"/>
      <c r="C589" s="151"/>
      <c r="D589" s="151"/>
      <c r="E589" s="151" t="s">
        <v>408</v>
      </c>
      <c r="F589" s="150">
        <v>0.368896</v>
      </c>
      <c r="G589" s="151"/>
      <c r="H589" s="195" t="s">
        <v>409</v>
      </c>
      <c r="I589" s="195"/>
      <c r="J589" s="150">
        <v>1.65</v>
      </c>
    </row>
    <row r="590" spans="1:10" ht="14.4" thickBot="1" x14ac:dyDescent="0.3">
      <c r="A590" s="95"/>
      <c r="B590" s="95"/>
      <c r="C590" s="95"/>
      <c r="D590" s="95"/>
      <c r="E590" s="95"/>
      <c r="F590" s="95"/>
      <c r="G590" s="95" t="s">
        <v>410</v>
      </c>
      <c r="H590" s="152">
        <v>10494</v>
      </c>
      <c r="I590" s="95" t="s">
        <v>411</v>
      </c>
      <c r="J590" s="96">
        <v>17315.099999999999</v>
      </c>
    </row>
    <row r="591" spans="1:10" ht="14.4" thickTop="1" x14ac:dyDescent="0.25">
      <c r="A591" s="153"/>
      <c r="B591" s="153"/>
      <c r="C591" s="153"/>
      <c r="D591" s="153"/>
      <c r="E591" s="153"/>
      <c r="F591" s="153"/>
      <c r="G591" s="153"/>
      <c r="H591" s="153"/>
      <c r="I591" s="153"/>
      <c r="J591" s="153"/>
    </row>
    <row r="592" spans="1:10" x14ac:dyDescent="0.25">
      <c r="A592" s="142" t="s">
        <v>262</v>
      </c>
      <c r="B592" s="142"/>
      <c r="C592" s="142"/>
      <c r="D592" s="142" t="s">
        <v>323</v>
      </c>
      <c r="E592" s="142"/>
      <c r="F592" s="198"/>
      <c r="G592" s="198"/>
      <c r="H592" s="73"/>
      <c r="I592" s="142"/>
      <c r="J592" s="74">
        <v>40101.21</v>
      </c>
    </row>
    <row r="593" spans="1:10" x14ac:dyDescent="0.25">
      <c r="A593" s="100" t="s">
        <v>263</v>
      </c>
      <c r="B593" s="99" t="s">
        <v>82</v>
      </c>
      <c r="C593" s="100" t="s">
        <v>83</v>
      </c>
      <c r="D593" s="100" t="s">
        <v>1</v>
      </c>
      <c r="E593" s="193" t="s">
        <v>97</v>
      </c>
      <c r="F593" s="193"/>
      <c r="G593" s="101" t="s">
        <v>2</v>
      </c>
      <c r="H593" s="99" t="s">
        <v>3</v>
      </c>
      <c r="I593" s="99" t="s">
        <v>84</v>
      </c>
      <c r="J593" s="99" t="s">
        <v>86</v>
      </c>
    </row>
    <row r="594" spans="1:10" ht="39.6" x14ac:dyDescent="0.25">
      <c r="A594" s="143" t="s">
        <v>385</v>
      </c>
      <c r="B594" s="52" t="s">
        <v>254</v>
      </c>
      <c r="C594" s="143" t="s">
        <v>87</v>
      </c>
      <c r="D594" s="143" t="s">
        <v>255</v>
      </c>
      <c r="E594" s="194" t="s">
        <v>619</v>
      </c>
      <c r="F594" s="194"/>
      <c r="G594" s="51" t="s">
        <v>13</v>
      </c>
      <c r="H594" s="144">
        <v>1</v>
      </c>
      <c r="I594" s="53">
        <v>125.34</v>
      </c>
      <c r="J594" s="53">
        <v>125.34</v>
      </c>
    </row>
    <row r="595" spans="1:10" ht="52.8" x14ac:dyDescent="0.25">
      <c r="A595" s="155" t="s">
        <v>413</v>
      </c>
      <c r="B595" s="154" t="s">
        <v>624</v>
      </c>
      <c r="C595" s="155" t="s">
        <v>87</v>
      </c>
      <c r="D595" s="155" t="s">
        <v>625</v>
      </c>
      <c r="E595" s="196" t="s">
        <v>506</v>
      </c>
      <c r="F595" s="196"/>
      <c r="G595" s="156" t="s">
        <v>126</v>
      </c>
      <c r="H595" s="157">
        <v>8.9999999999999993E-3</v>
      </c>
      <c r="I595" s="158">
        <v>160.04</v>
      </c>
      <c r="J595" s="158">
        <v>1.44</v>
      </c>
    </row>
    <row r="596" spans="1:10" ht="52.8" x14ac:dyDescent="0.25">
      <c r="A596" s="155" t="s">
        <v>413</v>
      </c>
      <c r="B596" s="154" t="s">
        <v>636</v>
      </c>
      <c r="C596" s="155" t="s">
        <v>87</v>
      </c>
      <c r="D596" s="155" t="s">
        <v>637</v>
      </c>
      <c r="E596" s="196" t="s">
        <v>506</v>
      </c>
      <c r="F596" s="196"/>
      <c r="G596" s="156" t="s">
        <v>509</v>
      </c>
      <c r="H596" s="157">
        <v>2.1000000000000001E-2</v>
      </c>
      <c r="I596" s="158">
        <v>63.9</v>
      </c>
      <c r="J596" s="158">
        <v>1.34</v>
      </c>
    </row>
    <row r="597" spans="1:10" ht="52.8" x14ac:dyDescent="0.25">
      <c r="A597" s="155" t="s">
        <v>413</v>
      </c>
      <c r="B597" s="154" t="s">
        <v>609</v>
      </c>
      <c r="C597" s="155" t="s">
        <v>87</v>
      </c>
      <c r="D597" s="155" t="s">
        <v>610</v>
      </c>
      <c r="E597" s="196" t="s">
        <v>506</v>
      </c>
      <c r="F597" s="196"/>
      <c r="G597" s="156" t="s">
        <v>126</v>
      </c>
      <c r="H597" s="157">
        <v>2E-3</v>
      </c>
      <c r="I597" s="158">
        <v>302.35000000000002</v>
      </c>
      <c r="J597" s="158">
        <v>0.6</v>
      </c>
    </row>
    <row r="598" spans="1:10" ht="52.8" x14ac:dyDescent="0.25">
      <c r="A598" s="155" t="s">
        <v>413</v>
      </c>
      <c r="B598" s="154" t="s">
        <v>613</v>
      </c>
      <c r="C598" s="155" t="s">
        <v>87</v>
      </c>
      <c r="D598" s="155" t="s">
        <v>614</v>
      </c>
      <c r="E598" s="196" t="s">
        <v>506</v>
      </c>
      <c r="F598" s="196"/>
      <c r="G598" s="156" t="s">
        <v>509</v>
      </c>
      <c r="H598" s="157">
        <v>2.8000000000000001E-2</v>
      </c>
      <c r="I598" s="158">
        <v>67.88</v>
      </c>
      <c r="J598" s="158">
        <v>1.9</v>
      </c>
    </row>
    <row r="599" spans="1:10" ht="39.6" x14ac:dyDescent="0.25">
      <c r="A599" s="155" t="s">
        <v>413</v>
      </c>
      <c r="B599" s="154" t="s">
        <v>626</v>
      </c>
      <c r="C599" s="155" t="s">
        <v>87</v>
      </c>
      <c r="D599" s="155" t="s">
        <v>627</v>
      </c>
      <c r="E599" s="196" t="s">
        <v>506</v>
      </c>
      <c r="F599" s="196"/>
      <c r="G599" s="156" t="s">
        <v>126</v>
      </c>
      <c r="H599" s="157">
        <v>8.0000000000000002E-3</v>
      </c>
      <c r="I599" s="158">
        <v>241.66</v>
      </c>
      <c r="J599" s="158">
        <v>1.93</v>
      </c>
    </row>
    <row r="600" spans="1:10" ht="39.6" x14ac:dyDescent="0.25">
      <c r="A600" s="155" t="s">
        <v>413</v>
      </c>
      <c r="B600" s="154" t="s">
        <v>630</v>
      </c>
      <c r="C600" s="155" t="s">
        <v>87</v>
      </c>
      <c r="D600" s="155" t="s">
        <v>631</v>
      </c>
      <c r="E600" s="196" t="s">
        <v>506</v>
      </c>
      <c r="F600" s="196"/>
      <c r="G600" s="156" t="s">
        <v>509</v>
      </c>
      <c r="H600" s="157">
        <v>2.1999999999999999E-2</v>
      </c>
      <c r="I600" s="158">
        <v>88.92</v>
      </c>
      <c r="J600" s="158">
        <v>1.95</v>
      </c>
    </row>
    <row r="601" spans="1:10" ht="39.6" x14ac:dyDescent="0.25">
      <c r="A601" s="155" t="s">
        <v>413</v>
      </c>
      <c r="B601" s="154" t="s">
        <v>510</v>
      </c>
      <c r="C601" s="155" t="s">
        <v>87</v>
      </c>
      <c r="D601" s="155" t="s">
        <v>511</v>
      </c>
      <c r="E601" s="196" t="s">
        <v>489</v>
      </c>
      <c r="F601" s="196"/>
      <c r="G601" s="156" t="s">
        <v>490</v>
      </c>
      <c r="H601" s="157">
        <v>0.03</v>
      </c>
      <c r="I601" s="158">
        <v>23.71</v>
      </c>
      <c r="J601" s="158">
        <v>0.71</v>
      </c>
    </row>
    <row r="602" spans="1:10" ht="39.6" x14ac:dyDescent="0.25">
      <c r="A602" s="155" t="s">
        <v>413</v>
      </c>
      <c r="B602" s="154" t="s">
        <v>799</v>
      </c>
      <c r="C602" s="155" t="s">
        <v>87</v>
      </c>
      <c r="D602" s="155" t="s">
        <v>800</v>
      </c>
      <c r="E602" s="196" t="s">
        <v>619</v>
      </c>
      <c r="F602" s="196"/>
      <c r="G602" s="156" t="s">
        <v>13</v>
      </c>
      <c r="H602" s="157">
        <v>1</v>
      </c>
      <c r="I602" s="158">
        <v>112.28</v>
      </c>
      <c r="J602" s="158">
        <v>112.28</v>
      </c>
    </row>
    <row r="603" spans="1:10" ht="39.6" x14ac:dyDescent="0.25">
      <c r="A603" s="155" t="s">
        <v>413</v>
      </c>
      <c r="B603" s="154" t="s">
        <v>750</v>
      </c>
      <c r="C603" s="155" t="s">
        <v>87</v>
      </c>
      <c r="D603" s="155" t="s">
        <v>751</v>
      </c>
      <c r="E603" s="196" t="s">
        <v>506</v>
      </c>
      <c r="F603" s="196"/>
      <c r="G603" s="156" t="s">
        <v>126</v>
      </c>
      <c r="H603" s="157">
        <v>4.0000000000000001E-3</v>
      </c>
      <c r="I603" s="158">
        <v>219.9</v>
      </c>
      <c r="J603" s="158">
        <v>0.87</v>
      </c>
    </row>
    <row r="604" spans="1:10" ht="39.6" x14ac:dyDescent="0.25">
      <c r="A604" s="155" t="s">
        <v>413</v>
      </c>
      <c r="B604" s="154" t="s">
        <v>752</v>
      </c>
      <c r="C604" s="155" t="s">
        <v>87</v>
      </c>
      <c r="D604" s="155" t="s">
        <v>753</v>
      </c>
      <c r="E604" s="196" t="s">
        <v>506</v>
      </c>
      <c r="F604" s="196"/>
      <c r="G604" s="156" t="s">
        <v>509</v>
      </c>
      <c r="H604" s="157">
        <v>2.5999999999999999E-2</v>
      </c>
      <c r="I604" s="158">
        <v>89.43</v>
      </c>
      <c r="J604" s="158">
        <v>2.3199999999999998</v>
      </c>
    </row>
    <row r="605" spans="1:10" ht="39.6" x14ac:dyDescent="0.25">
      <c r="A605" s="151"/>
      <c r="B605" s="151"/>
      <c r="C605" s="151"/>
      <c r="D605" s="151"/>
      <c r="E605" s="151" t="s">
        <v>405</v>
      </c>
      <c r="F605" s="150">
        <v>4.5199999999999996</v>
      </c>
      <c r="G605" s="151" t="s">
        <v>406</v>
      </c>
      <c r="H605" s="150">
        <v>0</v>
      </c>
      <c r="I605" s="151" t="s">
        <v>407</v>
      </c>
      <c r="J605" s="150">
        <v>4.5199999999999996</v>
      </c>
    </row>
    <row r="606" spans="1:10" ht="39.6" x14ac:dyDescent="0.25">
      <c r="A606" s="151"/>
      <c r="B606" s="151"/>
      <c r="C606" s="151"/>
      <c r="D606" s="151"/>
      <c r="E606" s="151" t="s">
        <v>408</v>
      </c>
      <c r="F606" s="150">
        <v>36.122987999999999</v>
      </c>
      <c r="G606" s="151"/>
      <c r="H606" s="195" t="s">
        <v>409</v>
      </c>
      <c r="I606" s="195"/>
      <c r="J606" s="150">
        <v>161.46</v>
      </c>
    </row>
    <row r="607" spans="1:10" ht="14.4" thickBot="1" x14ac:dyDescent="0.3">
      <c r="A607" s="95"/>
      <c r="B607" s="95"/>
      <c r="C607" s="95"/>
      <c r="D607" s="95"/>
      <c r="E607" s="95"/>
      <c r="F607" s="95"/>
      <c r="G607" s="95" t="s">
        <v>410</v>
      </c>
      <c r="H607" s="152">
        <v>20.6</v>
      </c>
      <c r="I607" s="95" t="s">
        <v>411</v>
      </c>
      <c r="J607" s="96">
        <v>3326.08</v>
      </c>
    </row>
    <row r="608" spans="1:10" ht="14.4" thickTop="1" x14ac:dyDescent="0.25">
      <c r="A608" s="153"/>
      <c r="B608" s="153"/>
      <c r="C608" s="153"/>
      <c r="D608" s="153"/>
      <c r="E608" s="153"/>
      <c r="F608" s="153"/>
      <c r="G608" s="153"/>
      <c r="H608" s="153"/>
      <c r="I608" s="153"/>
      <c r="J608" s="153"/>
    </row>
    <row r="609" spans="1:10" x14ac:dyDescent="0.25">
      <c r="A609" s="100" t="s">
        <v>264</v>
      </c>
      <c r="B609" s="99" t="s">
        <v>82</v>
      </c>
      <c r="C609" s="100" t="s">
        <v>83</v>
      </c>
      <c r="D609" s="100" t="s">
        <v>1</v>
      </c>
      <c r="E609" s="193" t="s">
        <v>97</v>
      </c>
      <c r="F609" s="193"/>
      <c r="G609" s="101" t="s">
        <v>2</v>
      </c>
      <c r="H609" s="99" t="s">
        <v>3</v>
      </c>
      <c r="I609" s="99" t="s">
        <v>84</v>
      </c>
      <c r="J609" s="99" t="s">
        <v>86</v>
      </c>
    </row>
    <row r="610" spans="1:10" ht="26.4" x14ac:dyDescent="0.25">
      <c r="A610" s="143" t="s">
        <v>385</v>
      </c>
      <c r="B610" s="52" t="s">
        <v>342</v>
      </c>
      <c r="C610" s="143" t="s">
        <v>87</v>
      </c>
      <c r="D610" s="143" t="s">
        <v>305</v>
      </c>
      <c r="E610" s="194" t="s">
        <v>442</v>
      </c>
      <c r="F610" s="194"/>
      <c r="G610" s="51" t="s">
        <v>28</v>
      </c>
      <c r="H610" s="144">
        <v>1</v>
      </c>
      <c r="I610" s="53">
        <v>15.82</v>
      </c>
      <c r="J610" s="53">
        <v>15.82</v>
      </c>
    </row>
    <row r="611" spans="1:10" ht="39.6" x14ac:dyDescent="0.25">
      <c r="A611" s="155" t="s">
        <v>413</v>
      </c>
      <c r="B611" s="154" t="s">
        <v>702</v>
      </c>
      <c r="C611" s="155" t="s">
        <v>87</v>
      </c>
      <c r="D611" s="155" t="s">
        <v>703</v>
      </c>
      <c r="E611" s="196" t="s">
        <v>489</v>
      </c>
      <c r="F611" s="196"/>
      <c r="G611" s="156" t="s">
        <v>490</v>
      </c>
      <c r="H611" s="157">
        <v>1.4999999999999999E-2</v>
      </c>
      <c r="I611" s="158">
        <v>23.72</v>
      </c>
      <c r="J611" s="158">
        <v>0.35</v>
      </c>
    </row>
    <row r="612" spans="1:10" ht="39.6" x14ac:dyDescent="0.25">
      <c r="A612" s="155" t="s">
        <v>413</v>
      </c>
      <c r="B612" s="154" t="s">
        <v>704</v>
      </c>
      <c r="C612" s="155" t="s">
        <v>87</v>
      </c>
      <c r="D612" s="155" t="s">
        <v>705</v>
      </c>
      <c r="E612" s="196" t="s">
        <v>489</v>
      </c>
      <c r="F612" s="196"/>
      <c r="G612" s="156" t="s">
        <v>490</v>
      </c>
      <c r="H612" s="157">
        <v>4.2000000000000003E-2</v>
      </c>
      <c r="I612" s="158">
        <v>27.2</v>
      </c>
      <c r="J612" s="158">
        <v>1.1399999999999999</v>
      </c>
    </row>
    <row r="613" spans="1:10" ht="39.6" x14ac:dyDescent="0.25">
      <c r="A613" s="146" t="s">
        <v>386</v>
      </c>
      <c r="B613" s="145" t="s">
        <v>803</v>
      </c>
      <c r="C613" s="146" t="s">
        <v>87</v>
      </c>
      <c r="D613" s="146" t="s">
        <v>804</v>
      </c>
      <c r="E613" s="197" t="s">
        <v>395</v>
      </c>
      <c r="F613" s="197"/>
      <c r="G613" s="147" t="s">
        <v>6</v>
      </c>
      <c r="H613" s="148">
        <v>0.82399999999999995</v>
      </c>
      <c r="I613" s="149">
        <v>12.22</v>
      </c>
      <c r="J613" s="149">
        <v>10.06</v>
      </c>
    </row>
    <row r="614" spans="1:10" ht="39.6" x14ac:dyDescent="0.25">
      <c r="A614" s="146" t="s">
        <v>386</v>
      </c>
      <c r="B614" s="145" t="s">
        <v>805</v>
      </c>
      <c r="C614" s="146" t="s">
        <v>87</v>
      </c>
      <c r="D614" s="146" t="s">
        <v>806</v>
      </c>
      <c r="E614" s="197" t="s">
        <v>395</v>
      </c>
      <c r="F614" s="197"/>
      <c r="G614" s="147" t="s">
        <v>19</v>
      </c>
      <c r="H614" s="148">
        <v>0.67600000000000005</v>
      </c>
      <c r="I614" s="149">
        <v>5.96</v>
      </c>
      <c r="J614" s="149">
        <v>4.0199999999999996</v>
      </c>
    </row>
    <row r="615" spans="1:10" ht="26.4" x14ac:dyDescent="0.25">
      <c r="A615" s="146" t="s">
        <v>386</v>
      </c>
      <c r="B615" s="145" t="s">
        <v>801</v>
      </c>
      <c r="C615" s="146" t="s">
        <v>87</v>
      </c>
      <c r="D615" s="146" t="s">
        <v>802</v>
      </c>
      <c r="E615" s="197" t="s">
        <v>395</v>
      </c>
      <c r="F615" s="197"/>
      <c r="G615" s="147" t="s">
        <v>28</v>
      </c>
      <c r="H615" s="148">
        <v>1.0999999999999999E-2</v>
      </c>
      <c r="I615" s="149">
        <v>22.75</v>
      </c>
      <c r="J615" s="149">
        <v>0.25</v>
      </c>
    </row>
    <row r="616" spans="1:10" ht="39.6" x14ac:dyDescent="0.25">
      <c r="A616" s="151"/>
      <c r="B616" s="151"/>
      <c r="C616" s="151"/>
      <c r="D616" s="151"/>
      <c r="E616" s="151" t="s">
        <v>405</v>
      </c>
      <c r="F616" s="150">
        <v>1.05</v>
      </c>
      <c r="G616" s="151" t="s">
        <v>406</v>
      </c>
      <c r="H616" s="150">
        <v>0</v>
      </c>
      <c r="I616" s="151" t="s">
        <v>407</v>
      </c>
      <c r="J616" s="150">
        <v>1.05</v>
      </c>
    </row>
    <row r="617" spans="1:10" ht="39.6" x14ac:dyDescent="0.25">
      <c r="A617" s="151"/>
      <c r="B617" s="151"/>
      <c r="C617" s="151"/>
      <c r="D617" s="151"/>
      <c r="E617" s="151" t="s">
        <v>408</v>
      </c>
      <c r="F617" s="150">
        <v>4.5593240000000002</v>
      </c>
      <c r="G617" s="151"/>
      <c r="H617" s="195" t="s">
        <v>409</v>
      </c>
      <c r="I617" s="195"/>
      <c r="J617" s="150">
        <v>20.38</v>
      </c>
    </row>
    <row r="618" spans="1:10" ht="14.4" thickBot="1" x14ac:dyDescent="0.3">
      <c r="A618" s="95"/>
      <c r="B618" s="95"/>
      <c r="C618" s="95"/>
      <c r="D618" s="95"/>
      <c r="E618" s="95"/>
      <c r="F618" s="95"/>
      <c r="G618" s="95" t="s">
        <v>410</v>
      </c>
      <c r="H618" s="152">
        <v>609.76</v>
      </c>
      <c r="I618" s="95" t="s">
        <v>411</v>
      </c>
      <c r="J618" s="96">
        <v>12426.91</v>
      </c>
    </row>
    <row r="619" spans="1:10" ht="14.4" thickTop="1" x14ac:dyDescent="0.25">
      <c r="A619" s="153"/>
      <c r="B619" s="153"/>
      <c r="C619" s="153"/>
      <c r="D619" s="153"/>
      <c r="E619" s="153"/>
      <c r="F619" s="153"/>
      <c r="G619" s="153"/>
      <c r="H619" s="153"/>
      <c r="I619" s="153"/>
      <c r="J619" s="153"/>
    </row>
    <row r="620" spans="1:10" x14ac:dyDescent="0.25">
      <c r="A620" s="100" t="s">
        <v>343</v>
      </c>
      <c r="B620" s="99" t="s">
        <v>82</v>
      </c>
      <c r="C620" s="100" t="s">
        <v>83</v>
      </c>
      <c r="D620" s="100" t="s">
        <v>1</v>
      </c>
      <c r="E620" s="193" t="s">
        <v>97</v>
      </c>
      <c r="F620" s="193"/>
      <c r="G620" s="101" t="s">
        <v>2</v>
      </c>
      <c r="H620" s="99" t="s">
        <v>3</v>
      </c>
      <c r="I620" s="99" t="s">
        <v>84</v>
      </c>
      <c r="J620" s="99" t="s">
        <v>86</v>
      </c>
    </row>
    <row r="621" spans="1:10" ht="39.6" x14ac:dyDescent="0.25">
      <c r="A621" s="143" t="s">
        <v>385</v>
      </c>
      <c r="B621" s="52" t="s">
        <v>344</v>
      </c>
      <c r="C621" s="143" t="s">
        <v>87</v>
      </c>
      <c r="D621" s="143" t="s">
        <v>306</v>
      </c>
      <c r="E621" s="194" t="s">
        <v>442</v>
      </c>
      <c r="F621" s="194"/>
      <c r="G621" s="51" t="s">
        <v>13</v>
      </c>
      <c r="H621" s="144">
        <v>1</v>
      </c>
      <c r="I621" s="53">
        <v>544.39</v>
      </c>
      <c r="J621" s="53">
        <v>544.39</v>
      </c>
    </row>
    <row r="622" spans="1:10" ht="39.6" x14ac:dyDescent="0.25">
      <c r="A622" s="155" t="s">
        <v>413</v>
      </c>
      <c r="B622" s="154" t="s">
        <v>646</v>
      </c>
      <c r="C622" s="155" t="s">
        <v>87</v>
      </c>
      <c r="D622" s="155" t="s">
        <v>647</v>
      </c>
      <c r="E622" s="196" t="s">
        <v>489</v>
      </c>
      <c r="F622" s="196"/>
      <c r="G622" s="156" t="s">
        <v>490</v>
      </c>
      <c r="H622" s="157">
        <v>0.41099999999999998</v>
      </c>
      <c r="I622" s="158">
        <v>27.39</v>
      </c>
      <c r="J622" s="158">
        <v>11.25</v>
      </c>
    </row>
    <row r="623" spans="1:10" ht="39.6" x14ac:dyDescent="0.25">
      <c r="A623" s="155" t="s">
        <v>413</v>
      </c>
      <c r="B623" s="154" t="s">
        <v>510</v>
      </c>
      <c r="C623" s="155" t="s">
        <v>87</v>
      </c>
      <c r="D623" s="155" t="s">
        <v>511</v>
      </c>
      <c r="E623" s="196" t="s">
        <v>489</v>
      </c>
      <c r="F623" s="196"/>
      <c r="G623" s="156" t="s">
        <v>490</v>
      </c>
      <c r="H623" s="157">
        <v>0.41099999999999998</v>
      </c>
      <c r="I623" s="158">
        <v>23.71</v>
      </c>
      <c r="J623" s="158">
        <v>9.74</v>
      </c>
    </row>
    <row r="624" spans="1:10" ht="39.6" x14ac:dyDescent="0.25">
      <c r="A624" s="155" t="s">
        <v>413</v>
      </c>
      <c r="B624" s="154" t="s">
        <v>807</v>
      </c>
      <c r="C624" s="155" t="s">
        <v>87</v>
      </c>
      <c r="D624" s="155" t="s">
        <v>808</v>
      </c>
      <c r="E624" s="196" t="s">
        <v>506</v>
      </c>
      <c r="F624" s="196"/>
      <c r="G624" s="156" t="s">
        <v>126</v>
      </c>
      <c r="H624" s="157">
        <v>5.2999999999999999E-2</v>
      </c>
      <c r="I624" s="158">
        <v>1.24</v>
      </c>
      <c r="J624" s="158">
        <v>0.06</v>
      </c>
    </row>
    <row r="625" spans="1:10" ht="39.6" x14ac:dyDescent="0.25">
      <c r="A625" s="155" t="s">
        <v>413</v>
      </c>
      <c r="B625" s="154" t="s">
        <v>809</v>
      </c>
      <c r="C625" s="155" t="s">
        <v>87</v>
      </c>
      <c r="D625" s="155" t="s">
        <v>810</v>
      </c>
      <c r="E625" s="196" t="s">
        <v>506</v>
      </c>
      <c r="F625" s="196"/>
      <c r="G625" s="156" t="s">
        <v>509</v>
      </c>
      <c r="H625" s="157">
        <v>4.9000000000000002E-2</v>
      </c>
      <c r="I625" s="158">
        <v>0.5</v>
      </c>
      <c r="J625" s="158">
        <v>0.02</v>
      </c>
    </row>
    <row r="626" spans="1:10" ht="39.6" x14ac:dyDescent="0.25">
      <c r="A626" s="146" t="s">
        <v>386</v>
      </c>
      <c r="B626" s="145" t="s">
        <v>811</v>
      </c>
      <c r="C626" s="146" t="s">
        <v>87</v>
      </c>
      <c r="D626" s="146" t="s">
        <v>812</v>
      </c>
      <c r="E626" s="197" t="s">
        <v>395</v>
      </c>
      <c r="F626" s="197"/>
      <c r="G626" s="147" t="s">
        <v>13</v>
      </c>
      <c r="H626" s="148">
        <v>1.06</v>
      </c>
      <c r="I626" s="149">
        <v>493.7</v>
      </c>
      <c r="J626" s="149">
        <v>523.32000000000005</v>
      </c>
    </row>
    <row r="627" spans="1:10" ht="39.6" x14ac:dyDescent="0.25">
      <c r="A627" s="151"/>
      <c r="B627" s="151"/>
      <c r="C627" s="151"/>
      <c r="D627" s="151"/>
      <c r="E627" s="151" t="s">
        <v>405</v>
      </c>
      <c r="F627" s="150">
        <v>14.72</v>
      </c>
      <c r="G627" s="151" t="s">
        <v>406</v>
      </c>
      <c r="H627" s="150">
        <v>0</v>
      </c>
      <c r="I627" s="151" t="s">
        <v>407</v>
      </c>
      <c r="J627" s="150">
        <v>14.72</v>
      </c>
    </row>
    <row r="628" spans="1:10" ht="39.6" x14ac:dyDescent="0.25">
      <c r="A628" s="151"/>
      <c r="B628" s="151"/>
      <c r="C628" s="151"/>
      <c r="D628" s="151"/>
      <c r="E628" s="151" t="s">
        <v>408</v>
      </c>
      <c r="F628" s="150">
        <v>156.89319800000001</v>
      </c>
      <c r="G628" s="151"/>
      <c r="H628" s="195" t="s">
        <v>409</v>
      </c>
      <c r="I628" s="195"/>
      <c r="J628" s="150">
        <v>701.28</v>
      </c>
    </row>
    <row r="629" spans="1:10" ht="14.4" thickBot="1" x14ac:dyDescent="0.3">
      <c r="A629" s="95"/>
      <c r="B629" s="95"/>
      <c r="C629" s="95"/>
      <c r="D629" s="95"/>
      <c r="E629" s="95"/>
      <c r="F629" s="95"/>
      <c r="G629" s="95" t="s">
        <v>410</v>
      </c>
      <c r="H629" s="152">
        <v>28.84</v>
      </c>
      <c r="I629" s="95" t="s">
        <v>411</v>
      </c>
      <c r="J629" s="96">
        <v>20224.919999999998</v>
      </c>
    </row>
    <row r="630" spans="1:10" ht="14.4" thickTop="1" x14ac:dyDescent="0.25">
      <c r="A630" s="153"/>
      <c r="B630" s="153"/>
      <c r="C630" s="153"/>
      <c r="D630" s="153"/>
      <c r="E630" s="153"/>
      <c r="F630" s="153"/>
      <c r="G630" s="153"/>
      <c r="H630" s="153"/>
      <c r="I630" s="153"/>
      <c r="J630" s="153"/>
    </row>
    <row r="631" spans="1:10" x14ac:dyDescent="0.25">
      <c r="A631" s="100" t="s">
        <v>345</v>
      </c>
      <c r="B631" s="99" t="s">
        <v>82</v>
      </c>
      <c r="C631" s="100" t="s">
        <v>83</v>
      </c>
      <c r="D631" s="100" t="s">
        <v>1</v>
      </c>
      <c r="E631" s="193" t="s">
        <v>97</v>
      </c>
      <c r="F631" s="193"/>
      <c r="G631" s="101" t="s">
        <v>2</v>
      </c>
      <c r="H631" s="99" t="s">
        <v>3</v>
      </c>
      <c r="I631" s="99" t="s">
        <v>84</v>
      </c>
      <c r="J631" s="99" t="s">
        <v>86</v>
      </c>
    </row>
    <row r="632" spans="1:10" ht="26.4" x14ac:dyDescent="0.25">
      <c r="A632" s="143" t="s">
        <v>385</v>
      </c>
      <c r="B632" s="52" t="s">
        <v>346</v>
      </c>
      <c r="C632" s="143" t="s">
        <v>1373</v>
      </c>
      <c r="D632" s="143" t="s">
        <v>307</v>
      </c>
      <c r="E632" s="194">
        <v>11.2</v>
      </c>
      <c r="F632" s="194"/>
      <c r="G632" s="51" t="s">
        <v>19</v>
      </c>
      <c r="H632" s="144">
        <v>1</v>
      </c>
      <c r="I632" s="53">
        <v>19.420000000000002</v>
      </c>
      <c r="J632" s="53">
        <v>19.420000000000002</v>
      </c>
    </row>
    <row r="633" spans="1:10" ht="39.6" x14ac:dyDescent="0.25">
      <c r="A633" s="146" t="s">
        <v>386</v>
      </c>
      <c r="B633" s="145" t="s">
        <v>813</v>
      </c>
      <c r="C633" s="146" t="s">
        <v>1373</v>
      </c>
      <c r="D633" s="146" t="s">
        <v>814</v>
      </c>
      <c r="E633" s="197" t="s">
        <v>395</v>
      </c>
      <c r="F633" s="197"/>
      <c r="G633" s="147" t="s">
        <v>19</v>
      </c>
      <c r="H633" s="148">
        <v>1</v>
      </c>
      <c r="I633" s="149">
        <v>19.420000000000002</v>
      </c>
      <c r="J633" s="149">
        <v>19.420000000000002</v>
      </c>
    </row>
    <row r="634" spans="1:10" ht="39.6" x14ac:dyDescent="0.25">
      <c r="A634" s="151"/>
      <c r="B634" s="151"/>
      <c r="C634" s="151"/>
      <c r="D634" s="151"/>
      <c r="E634" s="151" t="s">
        <v>405</v>
      </c>
      <c r="F634" s="150">
        <v>0</v>
      </c>
      <c r="G634" s="151" t="s">
        <v>406</v>
      </c>
      <c r="H634" s="150">
        <v>0</v>
      </c>
      <c r="I634" s="151" t="s">
        <v>407</v>
      </c>
      <c r="J634" s="150">
        <v>0</v>
      </c>
    </row>
    <row r="635" spans="1:10" ht="39.6" x14ac:dyDescent="0.25">
      <c r="A635" s="151"/>
      <c r="B635" s="151"/>
      <c r="C635" s="151"/>
      <c r="D635" s="151"/>
      <c r="E635" s="151" t="s">
        <v>408</v>
      </c>
      <c r="F635" s="150">
        <v>5.5968439999999999</v>
      </c>
      <c r="G635" s="151"/>
      <c r="H635" s="195" t="s">
        <v>409</v>
      </c>
      <c r="I635" s="195"/>
      <c r="J635" s="150">
        <v>25.02</v>
      </c>
    </row>
    <row r="636" spans="1:10" ht="14.4" thickBot="1" x14ac:dyDescent="0.3">
      <c r="A636" s="95"/>
      <c r="B636" s="95"/>
      <c r="C636" s="95"/>
      <c r="D636" s="95"/>
      <c r="E636" s="95"/>
      <c r="F636" s="95"/>
      <c r="G636" s="95" t="s">
        <v>410</v>
      </c>
      <c r="H636" s="152">
        <v>164.8</v>
      </c>
      <c r="I636" s="95" t="s">
        <v>411</v>
      </c>
      <c r="J636" s="96">
        <v>4123.3</v>
      </c>
    </row>
    <row r="637" spans="1:10" ht="14.4" thickTop="1" x14ac:dyDescent="0.25">
      <c r="A637" s="153"/>
      <c r="B637" s="153"/>
      <c r="C637" s="153"/>
      <c r="D637" s="153"/>
      <c r="E637" s="153"/>
      <c r="F637" s="153"/>
      <c r="G637" s="153"/>
      <c r="H637" s="153"/>
      <c r="I637" s="153"/>
      <c r="J637" s="153"/>
    </row>
    <row r="638" spans="1:10" x14ac:dyDescent="0.25">
      <c r="A638" s="142" t="s">
        <v>347</v>
      </c>
      <c r="B638" s="142"/>
      <c r="C638" s="142"/>
      <c r="D638" s="142" t="s">
        <v>21</v>
      </c>
      <c r="E638" s="142"/>
      <c r="F638" s="198"/>
      <c r="G638" s="198"/>
      <c r="H638" s="73"/>
      <c r="I638" s="142"/>
      <c r="J638" s="74">
        <v>13937.92</v>
      </c>
    </row>
    <row r="639" spans="1:10" x14ac:dyDescent="0.25">
      <c r="A639" s="100" t="s">
        <v>348</v>
      </c>
      <c r="B639" s="99" t="s">
        <v>82</v>
      </c>
      <c r="C639" s="100" t="s">
        <v>83</v>
      </c>
      <c r="D639" s="100" t="s">
        <v>1</v>
      </c>
      <c r="E639" s="193" t="s">
        <v>97</v>
      </c>
      <c r="F639" s="193"/>
      <c r="G639" s="101" t="s">
        <v>2</v>
      </c>
      <c r="H639" s="99" t="s">
        <v>3</v>
      </c>
      <c r="I639" s="99" t="s">
        <v>84</v>
      </c>
      <c r="J639" s="99" t="s">
        <v>86</v>
      </c>
    </row>
    <row r="640" spans="1:10" ht="26.4" x14ac:dyDescent="0.25">
      <c r="A640" s="143" t="s">
        <v>385</v>
      </c>
      <c r="B640" s="52" t="s">
        <v>92</v>
      </c>
      <c r="C640" s="143" t="s">
        <v>1373</v>
      </c>
      <c r="D640" s="143" t="s">
        <v>22</v>
      </c>
      <c r="E640" s="194">
        <v>55.01</v>
      </c>
      <c r="F640" s="194"/>
      <c r="G640" s="51" t="s">
        <v>6</v>
      </c>
      <c r="H640" s="144">
        <v>1</v>
      </c>
      <c r="I640" s="53">
        <v>11.8</v>
      </c>
      <c r="J640" s="53">
        <v>11.8</v>
      </c>
    </row>
    <row r="641" spans="1:10" ht="39.6" x14ac:dyDescent="0.25">
      <c r="A641" s="146" t="s">
        <v>386</v>
      </c>
      <c r="B641" s="145" t="s">
        <v>597</v>
      </c>
      <c r="C641" s="146" t="s">
        <v>1373</v>
      </c>
      <c r="D641" s="146" t="s">
        <v>598</v>
      </c>
      <c r="E641" s="197" t="s">
        <v>389</v>
      </c>
      <c r="F641" s="197"/>
      <c r="G641" s="147" t="s">
        <v>390</v>
      </c>
      <c r="H641" s="148">
        <v>0.7</v>
      </c>
      <c r="I641" s="149">
        <v>16.87</v>
      </c>
      <c r="J641" s="149">
        <v>11.8</v>
      </c>
    </row>
    <row r="642" spans="1:10" ht="39.6" x14ac:dyDescent="0.25">
      <c r="A642" s="151"/>
      <c r="B642" s="151"/>
      <c r="C642" s="151"/>
      <c r="D642" s="151"/>
      <c r="E642" s="151" t="s">
        <v>405</v>
      </c>
      <c r="F642" s="150">
        <v>11.8</v>
      </c>
      <c r="G642" s="151" t="s">
        <v>406</v>
      </c>
      <c r="H642" s="150">
        <v>0</v>
      </c>
      <c r="I642" s="151" t="s">
        <v>407</v>
      </c>
      <c r="J642" s="150">
        <v>11.8</v>
      </c>
    </row>
    <row r="643" spans="1:10" ht="39.6" x14ac:dyDescent="0.25">
      <c r="A643" s="151"/>
      <c r="B643" s="151"/>
      <c r="C643" s="151"/>
      <c r="D643" s="151"/>
      <c r="E643" s="151" t="s">
        <v>408</v>
      </c>
      <c r="F643" s="150">
        <v>3.40076</v>
      </c>
      <c r="G643" s="151"/>
      <c r="H643" s="195" t="s">
        <v>409</v>
      </c>
      <c r="I643" s="195"/>
      <c r="J643" s="150">
        <v>15.2</v>
      </c>
    </row>
    <row r="644" spans="1:10" ht="14.4" thickBot="1" x14ac:dyDescent="0.3">
      <c r="A644" s="95"/>
      <c r="B644" s="95"/>
      <c r="C644" s="95"/>
      <c r="D644" s="95"/>
      <c r="E644" s="95"/>
      <c r="F644" s="95"/>
      <c r="G644" s="95" t="s">
        <v>410</v>
      </c>
      <c r="H644" s="152">
        <v>603.5</v>
      </c>
      <c r="I644" s="95" t="s">
        <v>411</v>
      </c>
      <c r="J644" s="96">
        <v>9173.2000000000007</v>
      </c>
    </row>
    <row r="645" spans="1:10" ht="14.4" thickTop="1" x14ac:dyDescent="0.25">
      <c r="A645" s="153"/>
      <c r="B645" s="153"/>
      <c r="C645" s="153"/>
      <c r="D645" s="153"/>
      <c r="E645" s="153"/>
      <c r="F645" s="153"/>
      <c r="G645" s="153"/>
      <c r="H645" s="153"/>
      <c r="I645" s="153"/>
      <c r="J645" s="153"/>
    </row>
    <row r="646" spans="1:10" x14ac:dyDescent="0.25">
      <c r="A646" s="100" t="s">
        <v>349</v>
      </c>
      <c r="B646" s="99" t="s">
        <v>82</v>
      </c>
      <c r="C646" s="100" t="s">
        <v>83</v>
      </c>
      <c r="D646" s="100" t="s">
        <v>1</v>
      </c>
      <c r="E646" s="193" t="s">
        <v>97</v>
      </c>
      <c r="F646" s="193"/>
      <c r="G646" s="101" t="s">
        <v>2</v>
      </c>
      <c r="H646" s="99" t="s">
        <v>3</v>
      </c>
      <c r="I646" s="99" t="s">
        <v>84</v>
      </c>
      <c r="J646" s="99" t="s">
        <v>86</v>
      </c>
    </row>
    <row r="647" spans="1:10" ht="52.8" x14ac:dyDescent="0.25">
      <c r="A647" s="143" t="s">
        <v>385</v>
      </c>
      <c r="B647" s="52" t="s">
        <v>265</v>
      </c>
      <c r="C647" s="143" t="s">
        <v>87</v>
      </c>
      <c r="D647" s="143" t="s">
        <v>266</v>
      </c>
      <c r="E647" s="194" t="s">
        <v>437</v>
      </c>
      <c r="F647" s="194"/>
      <c r="G647" s="51" t="s">
        <v>19</v>
      </c>
      <c r="H647" s="144">
        <v>1</v>
      </c>
      <c r="I647" s="53">
        <v>616.46</v>
      </c>
      <c r="J647" s="53">
        <v>616.46</v>
      </c>
    </row>
    <row r="648" spans="1:10" ht="39.6" x14ac:dyDescent="0.25">
      <c r="A648" s="155" t="s">
        <v>413</v>
      </c>
      <c r="B648" s="154" t="s">
        <v>815</v>
      </c>
      <c r="C648" s="155" t="s">
        <v>87</v>
      </c>
      <c r="D648" s="155" t="s">
        <v>816</v>
      </c>
      <c r="E648" s="196" t="s">
        <v>489</v>
      </c>
      <c r="F648" s="196"/>
      <c r="G648" s="156" t="s">
        <v>490</v>
      </c>
      <c r="H648" s="157">
        <v>4.5259999999999998</v>
      </c>
      <c r="I648" s="158">
        <v>23.72</v>
      </c>
      <c r="J648" s="158">
        <v>107.35</v>
      </c>
    </row>
    <row r="649" spans="1:10" ht="39.6" x14ac:dyDescent="0.25">
      <c r="A649" s="155" t="s">
        <v>413</v>
      </c>
      <c r="B649" s="154" t="s">
        <v>817</v>
      </c>
      <c r="C649" s="155" t="s">
        <v>87</v>
      </c>
      <c r="D649" s="155" t="s">
        <v>818</v>
      </c>
      <c r="E649" s="196" t="s">
        <v>489</v>
      </c>
      <c r="F649" s="196"/>
      <c r="G649" s="156" t="s">
        <v>490</v>
      </c>
      <c r="H649" s="157">
        <v>5.51</v>
      </c>
      <c r="I649" s="158">
        <v>27.7</v>
      </c>
      <c r="J649" s="158">
        <v>152.62</v>
      </c>
    </row>
    <row r="650" spans="1:10" x14ac:dyDescent="0.25">
      <c r="A650" s="146" t="s">
        <v>386</v>
      </c>
      <c r="B650" s="145" t="s">
        <v>819</v>
      </c>
      <c r="C650" s="146" t="s">
        <v>87</v>
      </c>
      <c r="D650" s="146" t="s">
        <v>820</v>
      </c>
      <c r="E650" s="197" t="s">
        <v>395</v>
      </c>
      <c r="F650" s="197"/>
      <c r="G650" s="147" t="s">
        <v>28</v>
      </c>
      <c r="H650" s="148">
        <v>0.89600000000000002</v>
      </c>
      <c r="I650" s="149">
        <v>9.0500000000000007</v>
      </c>
      <c r="J650" s="149">
        <v>8.1</v>
      </c>
    </row>
    <row r="651" spans="1:10" x14ac:dyDescent="0.25">
      <c r="A651" s="146" t="s">
        <v>386</v>
      </c>
      <c r="B651" s="145" t="s">
        <v>821</v>
      </c>
      <c r="C651" s="146" t="s">
        <v>87</v>
      </c>
      <c r="D651" s="146" t="s">
        <v>822</v>
      </c>
      <c r="E651" s="197" t="s">
        <v>395</v>
      </c>
      <c r="F651" s="197"/>
      <c r="G651" s="147" t="s">
        <v>28</v>
      </c>
      <c r="H651" s="148">
        <v>6.5000000000000002E-2</v>
      </c>
      <c r="I651" s="149">
        <v>35.76</v>
      </c>
      <c r="J651" s="149">
        <v>2.3199999999999998</v>
      </c>
    </row>
    <row r="652" spans="1:10" ht="26.4" x14ac:dyDescent="0.25">
      <c r="A652" s="146" t="s">
        <v>386</v>
      </c>
      <c r="B652" s="145" t="s">
        <v>823</v>
      </c>
      <c r="C652" s="146" t="s">
        <v>87</v>
      </c>
      <c r="D652" s="146" t="s">
        <v>824</v>
      </c>
      <c r="E652" s="197" t="s">
        <v>395</v>
      </c>
      <c r="F652" s="197"/>
      <c r="G652" s="147" t="s">
        <v>18</v>
      </c>
      <c r="H652" s="148">
        <v>3.3330000000000002</v>
      </c>
      <c r="I652" s="149">
        <v>2.5499999999999998</v>
      </c>
      <c r="J652" s="149">
        <v>8.49</v>
      </c>
    </row>
    <row r="653" spans="1:10" ht="26.4" x14ac:dyDescent="0.25">
      <c r="A653" s="146" t="s">
        <v>386</v>
      </c>
      <c r="B653" s="145" t="s">
        <v>829</v>
      </c>
      <c r="C653" s="146" t="s">
        <v>87</v>
      </c>
      <c r="D653" s="146" t="s">
        <v>830</v>
      </c>
      <c r="E653" s="197" t="s">
        <v>395</v>
      </c>
      <c r="F653" s="197"/>
      <c r="G653" s="147" t="s">
        <v>19</v>
      </c>
      <c r="H653" s="148">
        <v>6.25</v>
      </c>
      <c r="I653" s="149">
        <v>25.96</v>
      </c>
      <c r="J653" s="149">
        <v>162.25</v>
      </c>
    </row>
    <row r="654" spans="1:10" ht="26.4" x14ac:dyDescent="0.25">
      <c r="A654" s="146" t="s">
        <v>386</v>
      </c>
      <c r="B654" s="145" t="s">
        <v>825</v>
      </c>
      <c r="C654" s="146" t="s">
        <v>87</v>
      </c>
      <c r="D654" s="146" t="s">
        <v>826</v>
      </c>
      <c r="E654" s="197" t="s">
        <v>395</v>
      </c>
      <c r="F654" s="197"/>
      <c r="G654" s="147" t="s">
        <v>19</v>
      </c>
      <c r="H654" s="148">
        <v>2.0230000000000001</v>
      </c>
      <c r="I654" s="149">
        <v>34.86</v>
      </c>
      <c r="J654" s="149">
        <v>70.52</v>
      </c>
    </row>
    <row r="655" spans="1:10" ht="26.4" x14ac:dyDescent="0.25">
      <c r="A655" s="146" t="s">
        <v>386</v>
      </c>
      <c r="B655" s="145" t="s">
        <v>831</v>
      </c>
      <c r="C655" s="146" t="s">
        <v>87</v>
      </c>
      <c r="D655" s="146" t="s">
        <v>832</v>
      </c>
      <c r="E655" s="197" t="s">
        <v>395</v>
      </c>
      <c r="F655" s="197"/>
      <c r="G655" s="147" t="s">
        <v>19</v>
      </c>
      <c r="H655" s="148">
        <v>0.92600000000000005</v>
      </c>
      <c r="I655" s="149">
        <v>50.81</v>
      </c>
      <c r="J655" s="149">
        <v>47.05</v>
      </c>
    </row>
    <row r="656" spans="1:10" ht="26.4" x14ac:dyDescent="0.25">
      <c r="A656" s="146" t="s">
        <v>386</v>
      </c>
      <c r="B656" s="145" t="s">
        <v>827</v>
      </c>
      <c r="C656" s="146" t="s">
        <v>87</v>
      </c>
      <c r="D656" s="146" t="s">
        <v>828</v>
      </c>
      <c r="E656" s="197" t="s">
        <v>395</v>
      </c>
      <c r="F656" s="197"/>
      <c r="G656" s="147" t="s">
        <v>19</v>
      </c>
      <c r="H656" s="148">
        <v>1.0289999999999999</v>
      </c>
      <c r="I656" s="149">
        <v>56.14</v>
      </c>
      <c r="J656" s="149">
        <v>57.76</v>
      </c>
    </row>
    <row r="657" spans="1:10" ht="39.6" x14ac:dyDescent="0.25">
      <c r="A657" s="151"/>
      <c r="B657" s="151"/>
      <c r="C657" s="151"/>
      <c r="D657" s="151"/>
      <c r="E657" s="151" t="s">
        <v>405</v>
      </c>
      <c r="F657" s="150">
        <v>182.6</v>
      </c>
      <c r="G657" s="151" t="s">
        <v>406</v>
      </c>
      <c r="H657" s="150">
        <v>0</v>
      </c>
      <c r="I657" s="151" t="s">
        <v>407</v>
      </c>
      <c r="J657" s="150">
        <v>182.6</v>
      </c>
    </row>
    <row r="658" spans="1:10" ht="39.6" x14ac:dyDescent="0.25">
      <c r="A658" s="151"/>
      <c r="B658" s="151"/>
      <c r="C658" s="151"/>
      <c r="D658" s="151"/>
      <c r="E658" s="151" t="s">
        <v>408</v>
      </c>
      <c r="F658" s="150">
        <v>177.66377199999999</v>
      </c>
      <c r="G658" s="151"/>
      <c r="H658" s="195" t="s">
        <v>409</v>
      </c>
      <c r="I658" s="195"/>
      <c r="J658" s="150">
        <v>794.12</v>
      </c>
    </row>
    <row r="659" spans="1:10" ht="14.4" thickBot="1" x14ac:dyDescent="0.3">
      <c r="A659" s="95"/>
      <c r="B659" s="95"/>
      <c r="C659" s="95"/>
      <c r="D659" s="95"/>
      <c r="E659" s="95"/>
      <c r="F659" s="95"/>
      <c r="G659" s="95" t="s">
        <v>410</v>
      </c>
      <c r="H659" s="152">
        <v>6</v>
      </c>
      <c r="I659" s="95" t="s">
        <v>411</v>
      </c>
      <c r="J659" s="96">
        <v>4764.72</v>
      </c>
    </row>
    <row r="660" spans="1:10" ht="14.4" thickTop="1" x14ac:dyDescent="0.25">
      <c r="A660" s="153"/>
      <c r="B660" s="153"/>
      <c r="C660" s="153"/>
      <c r="D660" s="153"/>
      <c r="E660" s="153"/>
      <c r="F660" s="153"/>
      <c r="G660" s="153"/>
      <c r="H660" s="153"/>
      <c r="I660" s="153"/>
      <c r="J660" s="153"/>
    </row>
    <row r="661" spans="1:10" x14ac:dyDescent="0.25">
      <c r="A661" s="97"/>
      <c r="B661" s="97"/>
      <c r="C661" s="97"/>
      <c r="D661" s="97"/>
      <c r="E661" s="97"/>
      <c r="F661" s="97"/>
      <c r="G661" s="97"/>
      <c r="H661" s="97"/>
      <c r="I661" s="97"/>
      <c r="J661" s="97"/>
    </row>
    <row r="662" spans="1:10" x14ac:dyDescent="0.25">
      <c r="A662" s="183"/>
      <c r="B662" s="183"/>
      <c r="C662" s="183"/>
      <c r="D662" s="54"/>
      <c r="E662" s="95"/>
      <c r="F662" s="182" t="s">
        <v>93</v>
      </c>
      <c r="G662" s="183"/>
      <c r="H662" s="184">
        <v>567178.78</v>
      </c>
      <c r="I662" s="183"/>
      <c r="J662" s="183"/>
    </row>
    <row r="663" spans="1:10" x14ac:dyDescent="0.25">
      <c r="A663" s="183"/>
      <c r="B663" s="183"/>
      <c r="C663" s="183"/>
      <c r="D663" s="54"/>
      <c r="E663" s="95"/>
      <c r="F663" s="182" t="s">
        <v>94</v>
      </c>
      <c r="G663" s="183"/>
      <c r="H663" s="184">
        <v>163459.88</v>
      </c>
      <c r="I663" s="183"/>
      <c r="J663" s="183"/>
    </row>
    <row r="664" spans="1:10" x14ac:dyDescent="0.25">
      <c r="A664" s="183"/>
      <c r="B664" s="183"/>
      <c r="C664" s="183"/>
      <c r="D664" s="54"/>
      <c r="E664" s="95"/>
      <c r="F664" s="182" t="s">
        <v>95</v>
      </c>
      <c r="G664" s="183"/>
      <c r="H664" s="184">
        <v>730638.66</v>
      </c>
      <c r="I664" s="183"/>
      <c r="J664" s="183"/>
    </row>
    <row r="665" spans="1:10" x14ac:dyDescent="0.25">
      <c r="A665" s="183"/>
      <c r="B665" s="183"/>
      <c r="C665" s="183"/>
      <c r="D665" s="54"/>
      <c r="E665" s="92"/>
      <c r="F665" s="182"/>
      <c r="G665" s="183"/>
      <c r="H665" s="184"/>
      <c r="I665" s="183"/>
      <c r="J665" s="183"/>
    </row>
    <row r="666" spans="1:10" x14ac:dyDescent="0.25">
      <c r="A666" s="183"/>
      <c r="B666" s="183"/>
      <c r="C666" s="183"/>
      <c r="D666" s="54"/>
      <c r="E666" s="92"/>
      <c r="F666" s="182"/>
      <c r="G666" s="183"/>
      <c r="H666" s="184"/>
      <c r="I666" s="183"/>
      <c r="J666" s="183"/>
    </row>
    <row r="669" spans="1:10" ht="50.25" customHeight="1" x14ac:dyDescent="0.25">
      <c r="A669" s="192" t="s">
        <v>304</v>
      </c>
      <c r="B669" s="192"/>
      <c r="C669" s="192"/>
      <c r="D669" s="192"/>
      <c r="E669" s="192"/>
      <c r="F669" s="192"/>
      <c r="G669" s="192"/>
      <c r="H669" s="192"/>
      <c r="I669" s="192"/>
      <c r="J669" s="192"/>
    </row>
  </sheetData>
  <mergeCells count="516">
    <mergeCell ref="H643:I643"/>
    <mergeCell ref="E653:F653"/>
    <mergeCell ref="E654:F654"/>
    <mergeCell ref="E655:F655"/>
    <mergeCell ref="E656:F656"/>
    <mergeCell ref="E648:F648"/>
    <mergeCell ref="E649:F649"/>
    <mergeCell ref="E650:F650"/>
    <mergeCell ref="E651:F651"/>
    <mergeCell ref="E652:F652"/>
    <mergeCell ref="H617:I617"/>
    <mergeCell ref="E620:F620"/>
    <mergeCell ref="E621:F621"/>
    <mergeCell ref="H628:I628"/>
    <mergeCell ref="E641:F641"/>
    <mergeCell ref="E633:F633"/>
    <mergeCell ref="E631:F631"/>
    <mergeCell ref="E632:F632"/>
    <mergeCell ref="H635:I635"/>
    <mergeCell ref="F638:G638"/>
    <mergeCell ref="E639:F639"/>
    <mergeCell ref="E640:F640"/>
    <mergeCell ref="E614:F614"/>
    <mergeCell ref="E615:F615"/>
    <mergeCell ref="E603:F603"/>
    <mergeCell ref="E604:F604"/>
    <mergeCell ref="E609:F609"/>
    <mergeCell ref="E610:F610"/>
    <mergeCell ref="E624:F624"/>
    <mergeCell ref="E625:F625"/>
    <mergeCell ref="E626:F626"/>
    <mergeCell ref="E622:F622"/>
    <mergeCell ref="E623:F623"/>
    <mergeCell ref="E601:F601"/>
    <mergeCell ref="E602:F602"/>
    <mergeCell ref="E595:F595"/>
    <mergeCell ref="E596:F596"/>
    <mergeCell ref="E597:F597"/>
    <mergeCell ref="H606:I606"/>
    <mergeCell ref="E611:F611"/>
    <mergeCell ref="E612:F612"/>
    <mergeCell ref="E613:F613"/>
    <mergeCell ref="H572:I572"/>
    <mergeCell ref="E587:F587"/>
    <mergeCell ref="E577:F577"/>
    <mergeCell ref="E578:F578"/>
    <mergeCell ref="E579:F579"/>
    <mergeCell ref="E580:F580"/>
    <mergeCell ref="E598:F598"/>
    <mergeCell ref="E599:F599"/>
    <mergeCell ref="E600:F600"/>
    <mergeCell ref="E575:F575"/>
    <mergeCell ref="E576:F576"/>
    <mergeCell ref="H582:I582"/>
    <mergeCell ref="E585:F585"/>
    <mergeCell ref="E586:F586"/>
    <mergeCell ref="H589:I589"/>
    <mergeCell ref="F592:G592"/>
    <mergeCell ref="E593:F593"/>
    <mergeCell ref="E594:F594"/>
    <mergeCell ref="E560:F560"/>
    <mergeCell ref="E561:F561"/>
    <mergeCell ref="E562:F562"/>
    <mergeCell ref="E563:F563"/>
    <mergeCell ref="E551:F551"/>
    <mergeCell ref="E552:F552"/>
    <mergeCell ref="E553:F553"/>
    <mergeCell ref="E569:F569"/>
    <mergeCell ref="E570:F570"/>
    <mergeCell ref="E564:F564"/>
    <mergeCell ref="E565:F565"/>
    <mergeCell ref="E566:F566"/>
    <mergeCell ref="E567:F567"/>
    <mergeCell ref="E568:F568"/>
    <mergeCell ref="H515:I515"/>
    <mergeCell ref="E520:F520"/>
    <mergeCell ref="E521:F521"/>
    <mergeCell ref="E522:F522"/>
    <mergeCell ref="E512:F512"/>
    <mergeCell ref="E513:F513"/>
    <mergeCell ref="E518:F518"/>
    <mergeCell ref="E519:F519"/>
    <mergeCell ref="E533:F533"/>
    <mergeCell ref="E529:F529"/>
    <mergeCell ref="E530:F530"/>
    <mergeCell ref="E531:F531"/>
    <mergeCell ref="E532:F532"/>
    <mergeCell ref="H524:I524"/>
    <mergeCell ref="E527:F527"/>
    <mergeCell ref="E528:F528"/>
    <mergeCell ref="E507:F507"/>
    <mergeCell ref="E508:F508"/>
    <mergeCell ref="E509:F509"/>
    <mergeCell ref="E510:F510"/>
    <mergeCell ref="E511:F511"/>
    <mergeCell ref="E502:F502"/>
    <mergeCell ref="E503:F503"/>
    <mergeCell ref="E504:F504"/>
    <mergeCell ref="E505:F505"/>
    <mergeCell ref="E506:F506"/>
    <mergeCell ref="E500:F500"/>
    <mergeCell ref="E501:F501"/>
    <mergeCell ref="E489:F489"/>
    <mergeCell ref="E490:F490"/>
    <mergeCell ref="E491:F491"/>
    <mergeCell ref="E492:F492"/>
    <mergeCell ref="E493:F493"/>
    <mergeCell ref="H495:I495"/>
    <mergeCell ref="E498:F498"/>
    <mergeCell ref="E499:F499"/>
    <mergeCell ref="E475:F475"/>
    <mergeCell ref="E487:F487"/>
    <mergeCell ref="E488:F488"/>
    <mergeCell ref="E476:F476"/>
    <mergeCell ref="E477:F477"/>
    <mergeCell ref="E478:F478"/>
    <mergeCell ref="E479:F479"/>
    <mergeCell ref="E480:F480"/>
    <mergeCell ref="H482:I482"/>
    <mergeCell ref="E485:F485"/>
    <mergeCell ref="E486:F486"/>
    <mergeCell ref="E468:F468"/>
    <mergeCell ref="E466:F466"/>
    <mergeCell ref="E467:F467"/>
    <mergeCell ref="H461:I461"/>
    <mergeCell ref="E464:F464"/>
    <mergeCell ref="E465:F465"/>
    <mergeCell ref="H470:I470"/>
    <mergeCell ref="F473:G473"/>
    <mergeCell ref="E474:F474"/>
    <mergeCell ref="E455:F455"/>
    <mergeCell ref="E456:F456"/>
    <mergeCell ref="E457:F457"/>
    <mergeCell ref="E458:F458"/>
    <mergeCell ref="E459:F459"/>
    <mergeCell ref="E447:F447"/>
    <mergeCell ref="E454:F454"/>
    <mergeCell ref="H449:I449"/>
    <mergeCell ref="E452:F452"/>
    <mergeCell ref="E453:F453"/>
    <mergeCell ref="H437:I437"/>
    <mergeCell ref="E442:F442"/>
    <mergeCell ref="E443:F443"/>
    <mergeCell ref="E444:F444"/>
    <mergeCell ref="E445:F445"/>
    <mergeCell ref="E446:F446"/>
    <mergeCell ref="E434:F434"/>
    <mergeCell ref="E435:F435"/>
    <mergeCell ref="E440:F440"/>
    <mergeCell ref="E441:F441"/>
    <mergeCell ref="E426:F426"/>
    <mergeCell ref="E433:F433"/>
    <mergeCell ref="E421:F421"/>
    <mergeCell ref="E422:F422"/>
    <mergeCell ref="E423:F423"/>
    <mergeCell ref="E424:F424"/>
    <mergeCell ref="E425:F425"/>
    <mergeCell ref="H428:I428"/>
    <mergeCell ref="E431:F431"/>
    <mergeCell ref="E432:F432"/>
    <mergeCell ref="E419:F419"/>
    <mergeCell ref="E420:F420"/>
    <mergeCell ref="E408:F408"/>
    <mergeCell ref="E409:F409"/>
    <mergeCell ref="E410:F410"/>
    <mergeCell ref="E411:F411"/>
    <mergeCell ref="E412:F412"/>
    <mergeCell ref="H414:I414"/>
    <mergeCell ref="E417:F417"/>
    <mergeCell ref="E418:F418"/>
    <mergeCell ref="E400:F400"/>
    <mergeCell ref="E407:F407"/>
    <mergeCell ref="E392:F392"/>
    <mergeCell ref="E393:F393"/>
    <mergeCell ref="H395:I395"/>
    <mergeCell ref="E398:F398"/>
    <mergeCell ref="E399:F399"/>
    <mergeCell ref="H402:I402"/>
    <mergeCell ref="E405:F405"/>
    <mergeCell ref="E406:F406"/>
    <mergeCell ref="E384:F384"/>
    <mergeCell ref="E391:F391"/>
    <mergeCell ref="E382:F382"/>
    <mergeCell ref="E383:F383"/>
    <mergeCell ref="H377:I377"/>
    <mergeCell ref="E380:F380"/>
    <mergeCell ref="E381:F381"/>
    <mergeCell ref="H386:I386"/>
    <mergeCell ref="E389:F389"/>
    <mergeCell ref="E390:F390"/>
    <mergeCell ref="E374:F374"/>
    <mergeCell ref="E375:F375"/>
    <mergeCell ref="E363:F363"/>
    <mergeCell ref="E364:F364"/>
    <mergeCell ref="E365:F365"/>
    <mergeCell ref="E366:F366"/>
    <mergeCell ref="H368:I368"/>
    <mergeCell ref="E371:F371"/>
    <mergeCell ref="E372:F372"/>
    <mergeCell ref="E362:F362"/>
    <mergeCell ref="E350:F350"/>
    <mergeCell ref="E351:F351"/>
    <mergeCell ref="E352:F352"/>
    <mergeCell ref="E353:F353"/>
    <mergeCell ref="H355:I355"/>
    <mergeCell ref="E358:F358"/>
    <mergeCell ref="E359:F359"/>
    <mergeCell ref="E373:F373"/>
    <mergeCell ref="E342:F342"/>
    <mergeCell ref="E334:F334"/>
    <mergeCell ref="E335:F335"/>
    <mergeCell ref="H344:I344"/>
    <mergeCell ref="F347:G347"/>
    <mergeCell ref="E348:F348"/>
    <mergeCell ref="E349:F349"/>
    <mergeCell ref="E360:F360"/>
    <mergeCell ref="E361:F361"/>
    <mergeCell ref="E313:F313"/>
    <mergeCell ref="E314:F314"/>
    <mergeCell ref="E315:F315"/>
    <mergeCell ref="E308:F308"/>
    <mergeCell ref="E309:F309"/>
    <mergeCell ref="E310:F310"/>
    <mergeCell ref="E311:F311"/>
    <mergeCell ref="E312:F312"/>
    <mergeCell ref="E332:F332"/>
    <mergeCell ref="E322:F322"/>
    <mergeCell ref="E323:F323"/>
    <mergeCell ref="E324:F324"/>
    <mergeCell ref="E325:F325"/>
    <mergeCell ref="E306:F306"/>
    <mergeCell ref="E307:F307"/>
    <mergeCell ref="E295:F295"/>
    <mergeCell ref="E296:F296"/>
    <mergeCell ref="E297:F297"/>
    <mergeCell ref="E298:F298"/>
    <mergeCell ref="H300:I300"/>
    <mergeCell ref="F303:G303"/>
    <mergeCell ref="E304:F304"/>
    <mergeCell ref="E305:F305"/>
    <mergeCell ref="E294:F294"/>
    <mergeCell ref="E284:F284"/>
    <mergeCell ref="E285:F285"/>
    <mergeCell ref="E286:F286"/>
    <mergeCell ref="E283:F283"/>
    <mergeCell ref="H288:I288"/>
    <mergeCell ref="F291:G291"/>
    <mergeCell ref="E292:F292"/>
    <mergeCell ref="E293:F293"/>
    <mergeCell ref="E262:F262"/>
    <mergeCell ref="E263:F263"/>
    <mergeCell ref="E264:F264"/>
    <mergeCell ref="E265:F265"/>
    <mergeCell ref="E258:F258"/>
    <mergeCell ref="E259:F259"/>
    <mergeCell ref="E260:F260"/>
    <mergeCell ref="E256:F256"/>
    <mergeCell ref="E257:F257"/>
    <mergeCell ref="E248:F248"/>
    <mergeCell ref="E249:F249"/>
    <mergeCell ref="E240:F240"/>
    <mergeCell ref="E241:F241"/>
    <mergeCell ref="H243:I243"/>
    <mergeCell ref="E246:F246"/>
    <mergeCell ref="E247:F247"/>
    <mergeCell ref="H251:I251"/>
    <mergeCell ref="E261:F261"/>
    <mergeCell ref="E193:F193"/>
    <mergeCell ref="E194:F194"/>
    <mergeCell ref="E185:F185"/>
    <mergeCell ref="E186:F186"/>
    <mergeCell ref="E192:F192"/>
    <mergeCell ref="H196:I196"/>
    <mergeCell ref="E206:F206"/>
    <mergeCell ref="E207:F207"/>
    <mergeCell ref="E208:F208"/>
    <mergeCell ref="E202:F202"/>
    <mergeCell ref="E203:F203"/>
    <mergeCell ref="E204:F204"/>
    <mergeCell ref="E205:F205"/>
    <mergeCell ref="H188:I188"/>
    <mergeCell ref="E191:F191"/>
    <mergeCell ref="F199:G199"/>
    <mergeCell ref="E200:F200"/>
    <mergeCell ref="E201:F201"/>
    <mergeCell ref="E164:F164"/>
    <mergeCell ref="E165:F165"/>
    <mergeCell ref="E162:F162"/>
    <mergeCell ref="E163:F163"/>
    <mergeCell ref="H157:I157"/>
    <mergeCell ref="E160:F160"/>
    <mergeCell ref="E161:F161"/>
    <mergeCell ref="H167:I167"/>
    <mergeCell ref="E184:F184"/>
    <mergeCell ref="E172:F172"/>
    <mergeCell ref="E173:F173"/>
    <mergeCell ref="E174:F174"/>
    <mergeCell ref="E175:F175"/>
    <mergeCell ref="E170:F170"/>
    <mergeCell ref="E171:F171"/>
    <mergeCell ref="H177:I177"/>
    <mergeCell ref="F180:G180"/>
    <mergeCell ref="F181:G181"/>
    <mergeCell ref="E182:F182"/>
    <mergeCell ref="E183:F183"/>
    <mergeCell ref="E151:F151"/>
    <mergeCell ref="E152:F152"/>
    <mergeCell ref="E153:F153"/>
    <mergeCell ref="E154:F154"/>
    <mergeCell ref="E155:F155"/>
    <mergeCell ref="E143:F143"/>
    <mergeCell ref="H145:I145"/>
    <mergeCell ref="F148:G148"/>
    <mergeCell ref="E149:F149"/>
    <mergeCell ref="E150:F150"/>
    <mergeCell ref="E140:F140"/>
    <mergeCell ref="E141:F141"/>
    <mergeCell ref="E142:F142"/>
    <mergeCell ref="E130:F130"/>
    <mergeCell ref="E131:F131"/>
    <mergeCell ref="E132:F132"/>
    <mergeCell ref="E133:F133"/>
    <mergeCell ref="H135:I135"/>
    <mergeCell ref="E138:F138"/>
    <mergeCell ref="E139:F139"/>
    <mergeCell ref="E128:F128"/>
    <mergeCell ref="E129:F129"/>
    <mergeCell ref="E117:F117"/>
    <mergeCell ref="E118:F118"/>
    <mergeCell ref="E119:F119"/>
    <mergeCell ref="E120:F120"/>
    <mergeCell ref="H122:I122"/>
    <mergeCell ref="F125:G125"/>
    <mergeCell ref="E126:F126"/>
    <mergeCell ref="E127:F127"/>
    <mergeCell ref="E115:F115"/>
    <mergeCell ref="E116:F116"/>
    <mergeCell ref="E104:F104"/>
    <mergeCell ref="E105:F105"/>
    <mergeCell ref="E106:F106"/>
    <mergeCell ref="E107:F107"/>
    <mergeCell ref="E108:F108"/>
    <mergeCell ref="H110:I110"/>
    <mergeCell ref="E113:F113"/>
    <mergeCell ref="E114:F114"/>
    <mergeCell ref="H79:I79"/>
    <mergeCell ref="E82:F82"/>
    <mergeCell ref="E83:F83"/>
    <mergeCell ref="E102:F102"/>
    <mergeCell ref="E103:F103"/>
    <mergeCell ref="E93:F93"/>
    <mergeCell ref="E94:F94"/>
    <mergeCell ref="H88:I88"/>
    <mergeCell ref="E91:F91"/>
    <mergeCell ref="E92:F92"/>
    <mergeCell ref="H96:I96"/>
    <mergeCell ref="F99:G99"/>
    <mergeCell ref="E100:F100"/>
    <mergeCell ref="E101:F101"/>
    <mergeCell ref="E74:F74"/>
    <mergeCell ref="E62:F62"/>
    <mergeCell ref="E63:F63"/>
    <mergeCell ref="E64:F64"/>
    <mergeCell ref="E65:F65"/>
    <mergeCell ref="E66:F66"/>
    <mergeCell ref="E84:F84"/>
    <mergeCell ref="E85:F85"/>
    <mergeCell ref="E86:F86"/>
    <mergeCell ref="E75:F75"/>
    <mergeCell ref="E76:F76"/>
    <mergeCell ref="E77:F77"/>
    <mergeCell ref="E57:F57"/>
    <mergeCell ref="E58:F58"/>
    <mergeCell ref="E59:F59"/>
    <mergeCell ref="E60:F60"/>
    <mergeCell ref="E61:F61"/>
    <mergeCell ref="E52:F52"/>
    <mergeCell ref="E53:F53"/>
    <mergeCell ref="E54:F54"/>
    <mergeCell ref="E55:F55"/>
    <mergeCell ref="E56:F56"/>
    <mergeCell ref="E48:F48"/>
    <mergeCell ref="E49:F49"/>
    <mergeCell ref="E50:F50"/>
    <mergeCell ref="E51:F51"/>
    <mergeCell ref="E42:F42"/>
    <mergeCell ref="E43:F43"/>
    <mergeCell ref="E44:F44"/>
    <mergeCell ref="E45:F45"/>
    <mergeCell ref="E46:F46"/>
    <mergeCell ref="E14:F14"/>
    <mergeCell ref="E15:F15"/>
    <mergeCell ref="E16:F16"/>
    <mergeCell ref="E10:F10"/>
    <mergeCell ref="E11:F11"/>
    <mergeCell ref="E12:F12"/>
    <mergeCell ref="E13:F13"/>
    <mergeCell ref="E9:F9"/>
    <mergeCell ref="E27:F27"/>
    <mergeCell ref="E25:F25"/>
    <mergeCell ref="E26:F26"/>
    <mergeCell ref="E5:F5"/>
    <mergeCell ref="A6:J6"/>
    <mergeCell ref="E1:F1"/>
    <mergeCell ref="G1:H1"/>
    <mergeCell ref="I1:J1"/>
    <mergeCell ref="E2:F2"/>
    <mergeCell ref="G2:H2"/>
    <mergeCell ref="F7:G7"/>
    <mergeCell ref="E8:F8"/>
    <mergeCell ref="I2:J5"/>
    <mergeCell ref="H18:I18"/>
    <mergeCell ref="F21:G21"/>
    <mergeCell ref="F22:G22"/>
    <mergeCell ref="E23:F23"/>
    <mergeCell ref="E24:F24"/>
    <mergeCell ref="H68:I68"/>
    <mergeCell ref="F71:G71"/>
    <mergeCell ref="E72:F72"/>
    <mergeCell ref="E73:F73"/>
    <mergeCell ref="E28:F28"/>
    <mergeCell ref="E29:F29"/>
    <mergeCell ref="E30:F30"/>
    <mergeCell ref="E31:F31"/>
    <mergeCell ref="E37:F37"/>
    <mergeCell ref="E38:F38"/>
    <mergeCell ref="E39:F39"/>
    <mergeCell ref="E40:F40"/>
    <mergeCell ref="E41:F41"/>
    <mergeCell ref="E32:F32"/>
    <mergeCell ref="E33:F33"/>
    <mergeCell ref="E34:F34"/>
    <mergeCell ref="E35:F35"/>
    <mergeCell ref="E36:F36"/>
    <mergeCell ref="E47:F47"/>
    <mergeCell ref="H211:I211"/>
    <mergeCell ref="E214:F214"/>
    <mergeCell ref="E215:F215"/>
    <mergeCell ref="H220:I220"/>
    <mergeCell ref="E223:F223"/>
    <mergeCell ref="E224:F224"/>
    <mergeCell ref="E209:F209"/>
    <mergeCell ref="F254:G254"/>
    <mergeCell ref="F255:G255"/>
    <mergeCell ref="E225:F225"/>
    <mergeCell ref="E226:F226"/>
    <mergeCell ref="E216:F216"/>
    <mergeCell ref="E217:F217"/>
    <mergeCell ref="E218:F218"/>
    <mergeCell ref="E232:F232"/>
    <mergeCell ref="E239:F239"/>
    <mergeCell ref="E227:F227"/>
    <mergeCell ref="E228:F228"/>
    <mergeCell ref="E229:F229"/>
    <mergeCell ref="E230:F230"/>
    <mergeCell ref="E231:F231"/>
    <mergeCell ref="H234:I234"/>
    <mergeCell ref="E237:F237"/>
    <mergeCell ref="E238:F238"/>
    <mergeCell ref="H267:I267"/>
    <mergeCell ref="E270:F270"/>
    <mergeCell ref="E271:F271"/>
    <mergeCell ref="H279:I279"/>
    <mergeCell ref="E282:F282"/>
    <mergeCell ref="E274:F274"/>
    <mergeCell ref="E275:F275"/>
    <mergeCell ref="E276:F276"/>
    <mergeCell ref="E277:F277"/>
    <mergeCell ref="E272:F272"/>
    <mergeCell ref="E273:F273"/>
    <mergeCell ref="H317:I317"/>
    <mergeCell ref="E320:F320"/>
    <mergeCell ref="E321:F321"/>
    <mergeCell ref="H327:I327"/>
    <mergeCell ref="E330:F330"/>
    <mergeCell ref="E331:F331"/>
    <mergeCell ref="H337:I337"/>
    <mergeCell ref="E340:F340"/>
    <mergeCell ref="E341:F341"/>
    <mergeCell ref="E333:F333"/>
    <mergeCell ref="H538:I538"/>
    <mergeCell ref="E541:F541"/>
    <mergeCell ref="E542:F542"/>
    <mergeCell ref="H555:I555"/>
    <mergeCell ref="E558:F558"/>
    <mergeCell ref="E559:F559"/>
    <mergeCell ref="E534:F534"/>
    <mergeCell ref="E535:F535"/>
    <mergeCell ref="E536:F536"/>
    <mergeCell ref="E546:F546"/>
    <mergeCell ref="E547:F547"/>
    <mergeCell ref="E548:F548"/>
    <mergeCell ref="E549:F549"/>
    <mergeCell ref="E550:F550"/>
    <mergeCell ref="E543:F543"/>
    <mergeCell ref="E544:F544"/>
    <mergeCell ref="E545:F545"/>
    <mergeCell ref="A669:J669"/>
    <mergeCell ref="E646:F646"/>
    <mergeCell ref="E647:F647"/>
    <mergeCell ref="H658:I658"/>
    <mergeCell ref="A662:C662"/>
    <mergeCell ref="F662:G662"/>
    <mergeCell ref="H662:J662"/>
    <mergeCell ref="A663:C663"/>
    <mergeCell ref="F663:G663"/>
    <mergeCell ref="H663:J663"/>
    <mergeCell ref="A665:C665"/>
    <mergeCell ref="F665:G665"/>
    <mergeCell ref="H665:J665"/>
    <mergeCell ref="A666:C666"/>
    <mergeCell ref="F666:G666"/>
    <mergeCell ref="H666:J666"/>
    <mergeCell ref="A664:C664"/>
    <mergeCell ref="F664:G664"/>
    <mergeCell ref="H664:J664"/>
  </mergeCells>
  <pageMargins left="0.51181102362204722" right="0.51181102362204722" top="0.98425196850393704" bottom="0.98425196850393704" header="0.51181102362204722" footer="0.51181102362204722"/>
  <pageSetup paperSize="9" scale="50" fitToHeight="0" orientation="landscape" r:id="rId1"/>
  <headerFooter>
    <oddHeader xml:space="preserve">&amp;L </oddHeader>
    <oddFooter>&amp;L &amp;C&amp;A&amp;R&amp;P de&amp;N</oddFooter>
  </headerFooter>
  <rowBreaks count="1" manualBreakCount="1">
    <brk id="63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90" zoomScaleNormal="100" zoomScaleSheetLayoutView="90" workbookViewId="0">
      <selection activeCell="A18" sqref="A18:I18"/>
    </sheetView>
  </sheetViews>
  <sheetFormatPr defaultColWidth="9" defaultRowHeight="13.8" x14ac:dyDescent="0.25"/>
  <cols>
    <col min="1" max="1" width="4.59765625" style="1" bestFit="1" customWidth="1"/>
    <col min="2" max="2" width="46.5" style="1" customWidth="1"/>
    <col min="3" max="3" width="14.59765625" style="1" bestFit="1" customWidth="1"/>
    <col min="4" max="25" width="12" style="1" bestFit="1" customWidth="1"/>
    <col min="26" max="16384" width="9" style="1"/>
  </cols>
  <sheetData>
    <row r="1" spans="1:13" ht="14.1" customHeight="1" x14ac:dyDescent="0.25">
      <c r="A1" s="203" t="str">
        <f>'Planilha sintetica'!A2</f>
        <v>Obra: TRAVESSIA JARDIM MERCEDEZ - PORTAL DO LAGO</v>
      </c>
      <c r="B1" s="203"/>
      <c r="C1" s="203"/>
      <c r="D1" s="200"/>
      <c r="E1" s="200"/>
      <c r="F1" s="200"/>
      <c r="G1" s="200"/>
      <c r="H1" s="37"/>
      <c r="I1" s="37"/>
    </row>
    <row r="2" spans="1:13" ht="75.75" customHeight="1" x14ac:dyDescent="0.25">
      <c r="A2" s="182" t="str">
        <f>'Planilha sintetica'!A5</f>
        <v>Arquivo: 172 - O - 2386- 20 - 001_1</v>
      </c>
      <c r="B2" s="182"/>
      <c r="C2" s="38"/>
      <c r="D2" s="182"/>
      <c r="E2" s="182"/>
      <c r="F2" s="182"/>
      <c r="G2" s="182"/>
      <c r="H2" s="37"/>
      <c r="I2" s="37"/>
      <c r="J2" s="188"/>
      <c r="K2" s="188"/>
      <c r="L2" s="188"/>
      <c r="M2" s="188"/>
    </row>
    <row r="3" spans="1:13" ht="15" customHeight="1" x14ac:dyDescent="0.25">
      <c r="A3" s="202" t="s">
        <v>116</v>
      </c>
      <c r="B3" s="181"/>
      <c r="C3" s="181"/>
      <c r="D3" s="181"/>
      <c r="E3" s="181"/>
      <c r="F3" s="181"/>
      <c r="G3" s="181"/>
      <c r="H3" s="37"/>
      <c r="I3" s="37"/>
      <c r="J3" s="188"/>
      <c r="K3" s="188"/>
      <c r="L3" s="191"/>
      <c r="M3" s="191"/>
    </row>
    <row r="4" spans="1:13" ht="15" customHeight="1" x14ac:dyDescent="0.25">
      <c r="A4" s="100" t="s">
        <v>0</v>
      </c>
      <c r="B4" s="100" t="s">
        <v>1</v>
      </c>
      <c r="C4" s="99" t="s">
        <v>123</v>
      </c>
      <c r="D4" s="99" t="s">
        <v>146</v>
      </c>
      <c r="E4" s="99" t="s">
        <v>124</v>
      </c>
      <c r="F4" s="99" t="s">
        <v>147</v>
      </c>
      <c r="G4" s="99" t="s">
        <v>125</v>
      </c>
      <c r="H4" s="99" t="s">
        <v>833</v>
      </c>
      <c r="I4" s="99" t="s">
        <v>834</v>
      </c>
    </row>
    <row r="5" spans="1:13" ht="15" customHeight="1" thickBot="1" x14ac:dyDescent="0.3">
      <c r="A5" s="142" t="s">
        <v>4</v>
      </c>
      <c r="B5" s="142" t="s">
        <v>150</v>
      </c>
      <c r="C5" s="73" t="s">
        <v>1374</v>
      </c>
      <c r="D5" s="159" t="s">
        <v>1374</v>
      </c>
      <c r="E5" s="73" t="s">
        <v>27</v>
      </c>
      <c r="F5" s="73" t="s">
        <v>27</v>
      </c>
      <c r="G5" s="73" t="s">
        <v>27</v>
      </c>
      <c r="H5" s="73" t="s">
        <v>27</v>
      </c>
      <c r="I5" s="73" t="s">
        <v>27</v>
      </c>
    </row>
    <row r="6" spans="1:13" ht="14.25" customHeight="1" thickTop="1" thickBot="1" x14ac:dyDescent="0.3">
      <c r="A6" s="142" t="s">
        <v>7</v>
      </c>
      <c r="B6" s="142" t="s">
        <v>117</v>
      </c>
      <c r="C6" s="73" t="s">
        <v>1375</v>
      </c>
      <c r="D6" s="159" t="s">
        <v>1376</v>
      </c>
      <c r="E6" s="159" t="s">
        <v>1377</v>
      </c>
      <c r="F6" s="159" t="s">
        <v>1377</v>
      </c>
      <c r="G6" s="159" t="s">
        <v>1377</v>
      </c>
      <c r="H6" s="159" t="s">
        <v>1377</v>
      </c>
      <c r="I6" s="159" t="s">
        <v>1378</v>
      </c>
    </row>
    <row r="7" spans="1:13" ht="14.25" customHeight="1" thickTop="1" thickBot="1" x14ac:dyDescent="0.3">
      <c r="A7" s="142" t="s">
        <v>10</v>
      </c>
      <c r="B7" s="142" t="s">
        <v>182</v>
      </c>
      <c r="C7" s="73" t="s">
        <v>1379</v>
      </c>
      <c r="D7" s="73" t="s">
        <v>27</v>
      </c>
      <c r="E7" s="159" t="s">
        <v>1380</v>
      </c>
      <c r="F7" s="159" t="s">
        <v>1381</v>
      </c>
      <c r="G7" s="73" t="s">
        <v>27</v>
      </c>
      <c r="H7" s="73" t="s">
        <v>27</v>
      </c>
      <c r="I7" s="159" t="s">
        <v>1382</v>
      </c>
    </row>
    <row r="8" spans="1:13" ht="14.25" customHeight="1" thickTop="1" thickBot="1" x14ac:dyDescent="0.3">
      <c r="A8" s="142" t="s">
        <v>14</v>
      </c>
      <c r="B8" s="142" t="s">
        <v>195</v>
      </c>
      <c r="C8" s="73" t="s">
        <v>1383</v>
      </c>
      <c r="D8" s="159" t="s">
        <v>1384</v>
      </c>
      <c r="E8" s="159" t="s">
        <v>1385</v>
      </c>
      <c r="F8" s="159" t="s">
        <v>1386</v>
      </c>
      <c r="G8" s="159" t="s">
        <v>1387</v>
      </c>
      <c r="H8" s="159" t="s">
        <v>1388</v>
      </c>
      <c r="I8" s="73" t="s">
        <v>27</v>
      </c>
    </row>
    <row r="9" spans="1:13" ht="14.25" customHeight="1" thickTop="1" thickBot="1" x14ac:dyDescent="0.3">
      <c r="A9" s="142" t="s">
        <v>242</v>
      </c>
      <c r="B9" s="142" t="s">
        <v>243</v>
      </c>
      <c r="C9" s="73" t="s">
        <v>1389</v>
      </c>
      <c r="D9" s="73" t="s">
        <v>27</v>
      </c>
      <c r="E9" s="73" t="s">
        <v>27</v>
      </c>
      <c r="F9" s="73" t="s">
        <v>27</v>
      </c>
      <c r="G9" s="159" t="s">
        <v>1390</v>
      </c>
      <c r="H9" s="159" t="s">
        <v>1391</v>
      </c>
      <c r="I9" s="73" t="s">
        <v>27</v>
      </c>
    </row>
    <row r="10" spans="1:13" ht="27.6" thickTop="1" thickBot="1" x14ac:dyDescent="0.3">
      <c r="A10" s="142" t="s">
        <v>262</v>
      </c>
      <c r="B10" s="142" t="s">
        <v>323</v>
      </c>
      <c r="C10" s="73" t="s">
        <v>1392</v>
      </c>
      <c r="D10" s="73" t="s">
        <v>27</v>
      </c>
      <c r="E10" s="73" t="s">
        <v>27</v>
      </c>
      <c r="F10" s="73" t="s">
        <v>27</v>
      </c>
      <c r="G10" s="73" t="s">
        <v>27</v>
      </c>
      <c r="H10" s="159" t="s">
        <v>1392</v>
      </c>
      <c r="I10" s="73" t="s">
        <v>27</v>
      </c>
    </row>
    <row r="11" spans="1:13" ht="70.5" customHeight="1" thickTop="1" thickBot="1" x14ac:dyDescent="0.3">
      <c r="A11" s="142" t="s">
        <v>347</v>
      </c>
      <c r="B11" s="142" t="s">
        <v>21</v>
      </c>
      <c r="C11" s="73" t="s">
        <v>1393</v>
      </c>
      <c r="D11" s="73" t="s">
        <v>27</v>
      </c>
      <c r="E11" s="73" t="s">
        <v>27</v>
      </c>
      <c r="F11" s="73" t="s">
        <v>27</v>
      </c>
      <c r="G11" s="73" t="s">
        <v>27</v>
      </c>
      <c r="H11" s="73" t="s">
        <v>27</v>
      </c>
      <c r="I11" s="159" t="s">
        <v>1393</v>
      </c>
    </row>
    <row r="12" spans="1:13" ht="15" customHeight="1" thickTop="1" x14ac:dyDescent="0.25">
      <c r="A12" s="182" t="s">
        <v>835</v>
      </c>
      <c r="B12" s="182"/>
      <c r="C12" s="94"/>
      <c r="D12" s="95" t="s">
        <v>1394</v>
      </c>
      <c r="E12" s="95" t="s">
        <v>1395</v>
      </c>
      <c r="F12" s="95" t="s">
        <v>1396</v>
      </c>
      <c r="G12" s="95" t="s">
        <v>1397</v>
      </c>
      <c r="H12" s="95" t="s">
        <v>1398</v>
      </c>
      <c r="I12" s="95" t="s">
        <v>1399</v>
      </c>
    </row>
    <row r="13" spans="1:13" ht="14.25" customHeight="1" x14ac:dyDescent="0.25">
      <c r="A13" s="182" t="s">
        <v>836</v>
      </c>
      <c r="B13" s="182"/>
      <c r="C13" s="94"/>
      <c r="D13" s="95" t="s">
        <v>1400</v>
      </c>
      <c r="E13" s="95" t="s">
        <v>1401</v>
      </c>
      <c r="F13" s="95" t="s">
        <v>1402</v>
      </c>
      <c r="G13" s="95" t="s">
        <v>1403</v>
      </c>
      <c r="H13" s="95" t="s">
        <v>1404</v>
      </c>
      <c r="I13" s="95" t="s">
        <v>1405</v>
      </c>
    </row>
    <row r="14" spans="1:13" ht="14.25" customHeight="1" x14ac:dyDescent="0.25">
      <c r="A14" s="182" t="s">
        <v>837</v>
      </c>
      <c r="B14" s="182"/>
      <c r="C14" s="94"/>
      <c r="D14" s="95" t="s">
        <v>1394</v>
      </c>
      <c r="E14" s="95" t="s">
        <v>1406</v>
      </c>
      <c r="F14" s="95" t="s">
        <v>1407</v>
      </c>
      <c r="G14" s="95" t="s">
        <v>1408</v>
      </c>
      <c r="H14" s="95" t="s">
        <v>1409</v>
      </c>
      <c r="I14" s="95" t="s">
        <v>838</v>
      </c>
    </row>
    <row r="15" spans="1:13" ht="14.25" customHeight="1" x14ac:dyDescent="0.25">
      <c r="A15" s="182" t="s">
        <v>839</v>
      </c>
      <c r="B15" s="182"/>
      <c r="C15" s="94"/>
      <c r="D15" s="95" t="s">
        <v>1410</v>
      </c>
      <c r="E15" s="95" t="s">
        <v>1411</v>
      </c>
      <c r="F15" s="95" t="s">
        <v>1412</v>
      </c>
      <c r="G15" s="95" t="s">
        <v>1413</v>
      </c>
      <c r="H15" s="95" t="s">
        <v>1414</v>
      </c>
      <c r="I15" s="95" t="s">
        <v>1415</v>
      </c>
    </row>
    <row r="16" spans="1:13" x14ac:dyDescent="0.25">
      <c r="A16" s="97"/>
      <c r="B16" s="97"/>
      <c r="C16" s="97"/>
      <c r="D16" s="97"/>
      <c r="E16" s="97"/>
      <c r="F16" s="97"/>
      <c r="G16" s="97"/>
      <c r="H16" s="98"/>
      <c r="I16" s="98"/>
    </row>
    <row r="17" spans="1:10" ht="26.25" customHeight="1" x14ac:dyDescent="0.25"/>
    <row r="18" spans="1:10" ht="48" customHeight="1" x14ac:dyDescent="0.25">
      <c r="A18" s="192" t="s">
        <v>304</v>
      </c>
      <c r="B18" s="192"/>
      <c r="C18" s="192"/>
      <c r="D18" s="192"/>
      <c r="E18" s="192"/>
      <c r="F18" s="192"/>
      <c r="G18" s="192"/>
      <c r="H18" s="192"/>
      <c r="I18" s="192"/>
      <c r="J18" s="165"/>
    </row>
    <row r="19" spans="1:10" x14ac:dyDescent="0.25">
      <c r="E19" s="48"/>
    </row>
  </sheetData>
  <mergeCells count="16">
    <mergeCell ref="A1:C1"/>
    <mergeCell ref="A2:B2"/>
    <mergeCell ref="D1:E1"/>
    <mergeCell ref="F1:G1"/>
    <mergeCell ref="D2:E2"/>
    <mergeCell ref="F2:G2"/>
    <mergeCell ref="J2:K2"/>
    <mergeCell ref="L2:M2"/>
    <mergeCell ref="J3:K3"/>
    <mergeCell ref="L3:M3"/>
    <mergeCell ref="A3:G3"/>
    <mergeCell ref="A18:I18"/>
    <mergeCell ref="A12:B12"/>
    <mergeCell ref="A13:B13"/>
    <mergeCell ref="A14:B14"/>
    <mergeCell ref="A15:B15"/>
  </mergeCells>
  <pageMargins left="0.51181102362204722" right="0.51181102362204722" top="0.98425196850393704" bottom="0.98425196850393704" header="0.51181102362204722" footer="0.51181102362204722"/>
  <pageSetup paperSize="8" scale="80" orientation="landscape" r:id="rId1"/>
  <headerFooter>
    <oddHeader xml:space="preserve">&amp;L &amp;C </oddHeader>
    <oddFooter>&amp;L &amp;C&amp;A &amp;R&amp;P de&amp;N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C60"/>
  <sheetViews>
    <sheetView tabSelected="1" topLeftCell="I7" workbookViewId="0">
      <selection activeCell="T46" sqref="T46"/>
    </sheetView>
  </sheetViews>
  <sheetFormatPr defaultColWidth="0" defaultRowHeight="12.75" customHeight="1" zeroHeight="1" x14ac:dyDescent="0.25"/>
  <cols>
    <col min="1" max="1" width="26.5" style="4" hidden="1" customWidth="1"/>
    <col min="2" max="3" width="8" style="4" hidden="1" customWidth="1"/>
    <col min="4" max="4" width="20.59765625" style="4" hidden="1" customWidth="1"/>
    <col min="5" max="8" width="8" style="4" hidden="1" customWidth="1"/>
    <col min="9" max="13" width="9.296875" style="4" customWidth="1"/>
    <col min="14" max="14" width="17" style="4" customWidth="1"/>
    <col min="15" max="15" width="11.19921875" style="4" customWidth="1"/>
    <col min="16" max="18" width="9.296875" style="4" customWidth="1"/>
    <col min="19" max="19" width="3.19921875" style="4" customWidth="1"/>
    <col min="20" max="20" width="25.796875" style="4" customWidth="1"/>
    <col min="21" max="21" width="12" style="4" customWidth="1"/>
    <col min="22" max="256" width="8" style="4" hidden="1"/>
    <col min="257" max="264" width="8" style="4" hidden="1" customWidth="1"/>
    <col min="265" max="270" width="9.296875" style="4" customWidth="1"/>
    <col min="271" max="271" width="11.19921875" style="4" customWidth="1"/>
    <col min="272" max="274" width="9.296875" style="4" customWidth="1"/>
    <col min="275" max="275" width="3.19921875" style="4" customWidth="1"/>
    <col min="276" max="276" width="25.796875" style="4" customWidth="1"/>
    <col min="277" max="277" width="12" style="4" customWidth="1"/>
    <col min="278" max="512" width="8" style="4" hidden="1"/>
    <col min="513" max="520" width="8" style="4" hidden="1" customWidth="1"/>
    <col min="521" max="526" width="9.296875" style="4" customWidth="1"/>
    <col min="527" max="527" width="11.19921875" style="4" customWidth="1"/>
    <col min="528" max="530" width="9.296875" style="4" customWidth="1"/>
    <col min="531" max="531" width="3.19921875" style="4" customWidth="1"/>
    <col min="532" max="532" width="25.796875" style="4" customWidth="1"/>
    <col min="533" max="533" width="12" style="4" customWidth="1"/>
    <col min="534" max="768" width="8" style="4" hidden="1"/>
    <col min="769" max="776" width="8" style="4" hidden="1" customWidth="1"/>
    <col min="777" max="782" width="9.296875" style="4" customWidth="1"/>
    <col min="783" max="783" width="11.19921875" style="4" customWidth="1"/>
    <col min="784" max="786" width="9.296875" style="4" customWidth="1"/>
    <col min="787" max="787" width="3.19921875" style="4" customWidth="1"/>
    <col min="788" max="788" width="25.796875" style="4" customWidth="1"/>
    <col min="789" max="789" width="12" style="4" customWidth="1"/>
    <col min="790" max="1024" width="8" style="4" hidden="1"/>
    <col min="1025" max="1032" width="8" style="4" hidden="1" customWidth="1"/>
    <col min="1033" max="1038" width="9.296875" style="4" customWidth="1"/>
    <col min="1039" max="1039" width="11.19921875" style="4" customWidth="1"/>
    <col min="1040" max="1042" width="9.296875" style="4" customWidth="1"/>
    <col min="1043" max="1043" width="3.19921875" style="4" customWidth="1"/>
    <col min="1044" max="1044" width="25.796875" style="4" customWidth="1"/>
    <col min="1045" max="1045" width="12" style="4" customWidth="1"/>
    <col min="1046" max="1280" width="8" style="4" hidden="1"/>
    <col min="1281" max="1288" width="8" style="4" hidden="1" customWidth="1"/>
    <col min="1289" max="1294" width="9.296875" style="4" customWidth="1"/>
    <col min="1295" max="1295" width="11.19921875" style="4" customWidth="1"/>
    <col min="1296" max="1298" width="9.296875" style="4" customWidth="1"/>
    <col min="1299" max="1299" width="3.19921875" style="4" customWidth="1"/>
    <col min="1300" max="1300" width="25.796875" style="4" customWidth="1"/>
    <col min="1301" max="1301" width="12" style="4" customWidth="1"/>
    <col min="1302" max="1536" width="8" style="4" hidden="1"/>
    <col min="1537" max="1544" width="8" style="4" hidden="1" customWidth="1"/>
    <col min="1545" max="1550" width="9.296875" style="4" customWidth="1"/>
    <col min="1551" max="1551" width="11.19921875" style="4" customWidth="1"/>
    <col min="1552" max="1554" width="9.296875" style="4" customWidth="1"/>
    <col min="1555" max="1555" width="3.19921875" style="4" customWidth="1"/>
    <col min="1556" max="1556" width="25.796875" style="4" customWidth="1"/>
    <col min="1557" max="1557" width="12" style="4" customWidth="1"/>
    <col min="1558" max="1792" width="8" style="4" hidden="1"/>
    <col min="1793" max="1800" width="8" style="4" hidden="1" customWidth="1"/>
    <col min="1801" max="1806" width="9.296875" style="4" customWidth="1"/>
    <col min="1807" max="1807" width="11.19921875" style="4" customWidth="1"/>
    <col min="1808" max="1810" width="9.296875" style="4" customWidth="1"/>
    <col min="1811" max="1811" width="3.19921875" style="4" customWidth="1"/>
    <col min="1812" max="1812" width="25.796875" style="4" customWidth="1"/>
    <col min="1813" max="1813" width="12" style="4" customWidth="1"/>
    <col min="1814" max="2048" width="8" style="4" hidden="1"/>
    <col min="2049" max="2056" width="8" style="4" hidden="1" customWidth="1"/>
    <col min="2057" max="2062" width="9.296875" style="4" customWidth="1"/>
    <col min="2063" max="2063" width="11.19921875" style="4" customWidth="1"/>
    <col min="2064" max="2066" width="9.296875" style="4" customWidth="1"/>
    <col min="2067" max="2067" width="3.19921875" style="4" customWidth="1"/>
    <col min="2068" max="2068" width="25.796875" style="4" customWidth="1"/>
    <col min="2069" max="2069" width="12" style="4" customWidth="1"/>
    <col min="2070" max="2304" width="8" style="4" hidden="1"/>
    <col min="2305" max="2312" width="8" style="4" hidden="1" customWidth="1"/>
    <col min="2313" max="2318" width="9.296875" style="4" customWidth="1"/>
    <col min="2319" max="2319" width="11.19921875" style="4" customWidth="1"/>
    <col min="2320" max="2322" width="9.296875" style="4" customWidth="1"/>
    <col min="2323" max="2323" width="3.19921875" style="4" customWidth="1"/>
    <col min="2324" max="2324" width="25.796875" style="4" customWidth="1"/>
    <col min="2325" max="2325" width="12" style="4" customWidth="1"/>
    <col min="2326" max="2560" width="8" style="4" hidden="1"/>
    <col min="2561" max="2568" width="8" style="4" hidden="1" customWidth="1"/>
    <col min="2569" max="2574" width="9.296875" style="4" customWidth="1"/>
    <col min="2575" max="2575" width="11.19921875" style="4" customWidth="1"/>
    <col min="2576" max="2578" width="9.296875" style="4" customWidth="1"/>
    <col min="2579" max="2579" width="3.19921875" style="4" customWidth="1"/>
    <col min="2580" max="2580" width="25.796875" style="4" customWidth="1"/>
    <col min="2581" max="2581" width="12" style="4" customWidth="1"/>
    <col min="2582" max="2816" width="8" style="4" hidden="1"/>
    <col min="2817" max="2824" width="8" style="4" hidden="1" customWidth="1"/>
    <col min="2825" max="2830" width="9.296875" style="4" customWidth="1"/>
    <col min="2831" max="2831" width="11.19921875" style="4" customWidth="1"/>
    <col min="2832" max="2834" width="9.296875" style="4" customWidth="1"/>
    <col min="2835" max="2835" width="3.19921875" style="4" customWidth="1"/>
    <col min="2836" max="2836" width="25.796875" style="4" customWidth="1"/>
    <col min="2837" max="2837" width="12" style="4" customWidth="1"/>
    <col min="2838" max="3072" width="8" style="4" hidden="1"/>
    <col min="3073" max="3080" width="8" style="4" hidden="1" customWidth="1"/>
    <col min="3081" max="3086" width="9.296875" style="4" customWidth="1"/>
    <col min="3087" max="3087" width="11.19921875" style="4" customWidth="1"/>
    <col min="3088" max="3090" width="9.296875" style="4" customWidth="1"/>
    <col min="3091" max="3091" width="3.19921875" style="4" customWidth="1"/>
    <col min="3092" max="3092" width="25.796875" style="4" customWidth="1"/>
    <col min="3093" max="3093" width="12" style="4" customWidth="1"/>
    <col min="3094" max="3328" width="8" style="4" hidden="1"/>
    <col min="3329" max="3336" width="8" style="4" hidden="1" customWidth="1"/>
    <col min="3337" max="3342" width="9.296875" style="4" customWidth="1"/>
    <col min="3343" max="3343" width="11.19921875" style="4" customWidth="1"/>
    <col min="3344" max="3346" width="9.296875" style="4" customWidth="1"/>
    <col min="3347" max="3347" width="3.19921875" style="4" customWidth="1"/>
    <col min="3348" max="3348" width="25.796875" style="4" customWidth="1"/>
    <col min="3349" max="3349" width="12" style="4" customWidth="1"/>
    <col min="3350" max="3584" width="8" style="4" hidden="1"/>
    <col min="3585" max="3592" width="8" style="4" hidden="1" customWidth="1"/>
    <col min="3593" max="3598" width="9.296875" style="4" customWidth="1"/>
    <col min="3599" max="3599" width="11.19921875" style="4" customWidth="1"/>
    <col min="3600" max="3602" width="9.296875" style="4" customWidth="1"/>
    <col min="3603" max="3603" width="3.19921875" style="4" customWidth="1"/>
    <col min="3604" max="3604" width="25.796875" style="4" customWidth="1"/>
    <col min="3605" max="3605" width="12" style="4" customWidth="1"/>
    <col min="3606" max="3840" width="8" style="4" hidden="1"/>
    <col min="3841" max="3848" width="8" style="4" hidden="1" customWidth="1"/>
    <col min="3849" max="3854" width="9.296875" style="4" customWidth="1"/>
    <col min="3855" max="3855" width="11.19921875" style="4" customWidth="1"/>
    <col min="3856" max="3858" width="9.296875" style="4" customWidth="1"/>
    <col min="3859" max="3859" width="3.19921875" style="4" customWidth="1"/>
    <col min="3860" max="3860" width="25.796875" style="4" customWidth="1"/>
    <col min="3861" max="3861" width="12" style="4" customWidth="1"/>
    <col min="3862" max="4096" width="8" style="4" hidden="1"/>
    <col min="4097" max="4104" width="8" style="4" hidden="1" customWidth="1"/>
    <col min="4105" max="4110" width="9.296875" style="4" customWidth="1"/>
    <col min="4111" max="4111" width="11.19921875" style="4" customWidth="1"/>
    <col min="4112" max="4114" width="9.296875" style="4" customWidth="1"/>
    <col min="4115" max="4115" width="3.19921875" style="4" customWidth="1"/>
    <col min="4116" max="4116" width="25.796875" style="4" customWidth="1"/>
    <col min="4117" max="4117" width="12" style="4" customWidth="1"/>
    <col min="4118" max="4352" width="8" style="4" hidden="1"/>
    <col min="4353" max="4360" width="8" style="4" hidden="1" customWidth="1"/>
    <col min="4361" max="4366" width="9.296875" style="4" customWidth="1"/>
    <col min="4367" max="4367" width="11.19921875" style="4" customWidth="1"/>
    <col min="4368" max="4370" width="9.296875" style="4" customWidth="1"/>
    <col min="4371" max="4371" width="3.19921875" style="4" customWidth="1"/>
    <col min="4372" max="4372" width="25.796875" style="4" customWidth="1"/>
    <col min="4373" max="4373" width="12" style="4" customWidth="1"/>
    <col min="4374" max="4608" width="8" style="4" hidden="1"/>
    <col min="4609" max="4616" width="8" style="4" hidden="1" customWidth="1"/>
    <col min="4617" max="4622" width="9.296875" style="4" customWidth="1"/>
    <col min="4623" max="4623" width="11.19921875" style="4" customWidth="1"/>
    <col min="4624" max="4626" width="9.296875" style="4" customWidth="1"/>
    <col min="4627" max="4627" width="3.19921875" style="4" customWidth="1"/>
    <col min="4628" max="4628" width="25.796875" style="4" customWidth="1"/>
    <col min="4629" max="4629" width="12" style="4" customWidth="1"/>
    <col min="4630" max="4864" width="8" style="4" hidden="1"/>
    <col min="4865" max="4872" width="8" style="4" hidden="1" customWidth="1"/>
    <col min="4873" max="4878" width="9.296875" style="4" customWidth="1"/>
    <col min="4879" max="4879" width="11.19921875" style="4" customWidth="1"/>
    <col min="4880" max="4882" width="9.296875" style="4" customWidth="1"/>
    <col min="4883" max="4883" width="3.19921875" style="4" customWidth="1"/>
    <col min="4884" max="4884" width="25.796875" style="4" customWidth="1"/>
    <col min="4885" max="4885" width="12" style="4" customWidth="1"/>
    <col min="4886" max="5120" width="8" style="4" hidden="1"/>
    <col min="5121" max="5128" width="8" style="4" hidden="1" customWidth="1"/>
    <col min="5129" max="5134" width="9.296875" style="4" customWidth="1"/>
    <col min="5135" max="5135" width="11.19921875" style="4" customWidth="1"/>
    <col min="5136" max="5138" width="9.296875" style="4" customWidth="1"/>
    <col min="5139" max="5139" width="3.19921875" style="4" customWidth="1"/>
    <col min="5140" max="5140" width="25.796875" style="4" customWidth="1"/>
    <col min="5141" max="5141" width="12" style="4" customWidth="1"/>
    <col min="5142" max="5376" width="8" style="4" hidden="1"/>
    <col min="5377" max="5384" width="8" style="4" hidden="1" customWidth="1"/>
    <col min="5385" max="5390" width="9.296875" style="4" customWidth="1"/>
    <col min="5391" max="5391" width="11.19921875" style="4" customWidth="1"/>
    <col min="5392" max="5394" width="9.296875" style="4" customWidth="1"/>
    <col min="5395" max="5395" width="3.19921875" style="4" customWidth="1"/>
    <col min="5396" max="5396" width="25.796875" style="4" customWidth="1"/>
    <col min="5397" max="5397" width="12" style="4" customWidth="1"/>
    <col min="5398" max="5632" width="8" style="4" hidden="1"/>
    <col min="5633" max="5640" width="8" style="4" hidden="1" customWidth="1"/>
    <col min="5641" max="5646" width="9.296875" style="4" customWidth="1"/>
    <col min="5647" max="5647" width="11.19921875" style="4" customWidth="1"/>
    <col min="5648" max="5650" width="9.296875" style="4" customWidth="1"/>
    <col min="5651" max="5651" width="3.19921875" style="4" customWidth="1"/>
    <col min="5652" max="5652" width="25.796875" style="4" customWidth="1"/>
    <col min="5653" max="5653" width="12" style="4" customWidth="1"/>
    <col min="5654" max="5888" width="8" style="4" hidden="1"/>
    <col min="5889" max="5896" width="8" style="4" hidden="1" customWidth="1"/>
    <col min="5897" max="5902" width="9.296875" style="4" customWidth="1"/>
    <col min="5903" max="5903" width="11.19921875" style="4" customWidth="1"/>
    <col min="5904" max="5906" width="9.296875" style="4" customWidth="1"/>
    <col min="5907" max="5907" width="3.19921875" style="4" customWidth="1"/>
    <col min="5908" max="5908" width="25.796875" style="4" customWidth="1"/>
    <col min="5909" max="5909" width="12" style="4" customWidth="1"/>
    <col min="5910" max="6144" width="8" style="4" hidden="1"/>
    <col min="6145" max="6152" width="8" style="4" hidden="1" customWidth="1"/>
    <col min="6153" max="6158" width="9.296875" style="4" customWidth="1"/>
    <col min="6159" max="6159" width="11.19921875" style="4" customWidth="1"/>
    <col min="6160" max="6162" width="9.296875" style="4" customWidth="1"/>
    <col min="6163" max="6163" width="3.19921875" style="4" customWidth="1"/>
    <col min="6164" max="6164" width="25.796875" style="4" customWidth="1"/>
    <col min="6165" max="6165" width="12" style="4" customWidth="1"/>
    <col min="6166" max="6400" width="8" style="4" hidden="1"/>
    <col min="6401" max="6408" width="8" style="4" hidden="1" customWidth="1"/>
    <col min="6409" max="6414" width="9.296875" style="4" customWidth="1"/>
    <col min="6415" max="6415" width="11.19921875" style="4" customWidth="1"/>
    <col min="6416" max="6418" width="9.296875" style="4" customWidth="1"/>
    <col min="6419" max="6419" width="3.19921875" style="4" customWidth="1"/>
    <col min="6420" max="6420" width="25.796875" style="4" customWidth="1"/>
    <col min="6421" max="6421" width="12" style="4" customWidth="1"/>
    <col min="6422" max="6656" width="8" style="4" hidden="1"/>
    <col min="6657" max="6664" width="8" style="4" hidden="1" customWidth="1"/>
    <col min="6665" max="6670" width="9.296875" style="4" customWidth="1"/>
    <col min="6671" max="6671" width="11.19921875" style="4" customWidth="1"/>
    <col min="6672" max="6674" width="9.296875" style="4" customWidth="1"/>
    <col min="6675" max="6675" width="3.19921875" style="4" customWidth="1"/>
    <col min="6676" max="6676" width="25.796875" style="4" customWidth="1"/>
    <col min="6677" max="6677" width="12" style="4" customWidth="1"/>
    <col min="6678" max="6912" width="8" style="4" hidden="1"/>
    <col min="6913" max="6920" width="8" style="4" hidden="1" customWidth="1"/>
    <col min="6921" max="6926" width="9.296875" style="4" customWidth="1"/>
    <col min="6927" max="6927" width="11.19921875" style="4" customWidth="1"/>
    <col min="6928" max="6930" width="9.296875" style="4" customWidth="1"/>
    <col min="6931" max="6931" width="3.19921875" style="4" customWidth="1"/>
    <col min="6932" max="6932" width="25.796875" style="4" customWidth="1"/>
    <col min="6933" max="6933" width="12" style="4" customWidth="1"/>
    <col min="6934" max="7168" width="8" style="4" hidden="1"/>
    <col min="7169" max="7176" width="8" style="4" hidden="1" customWidth="1"/>
    <col min="7177" max="7182" width="9.296875" style="4" customWidth="1"/>
    <col min="7183" max="7183" width="11.19921875" style="4" customWidth="1"/>
    <col min="7184" max="7186" width="9.296875" style="4" customWidth="1"/>
    <col min="7187" max="7187" width="3.19921875" style="4" customWidth="1"/>
    <col min="7188" max="7188" width="25.796875" style="4" customWidth="1"/>
    <col min="7189" max="7189" width="12" style="4" customWidth="1"/>
    <col min="7190" max="7424" width="8" style="4" hidden="1"/>
    <col min="7425" max="7432" width="8" style="4" hidden="1" customWidth="1"/>
    <col min="7433" max="7438" width="9.296875" style="4" customWidth="1"/>
    <col min="7439" max="7439" width="11.19921875" style="4" customWidth="1"/>
    <col min="7440" max="7442" width="9.296875" style="4" customWidth="1"/>
    <col min="7443" max="7443" width="3.19921875" style="4" customWidth="1"/>
    <col min="7444" max="7444" width="25.796875" style="4" customWidth="1"/>
    <col min="7445" max="7445" width="12" style="4" customWidth="1"/>
    <col min="7446" max="7680" width="8" style="4" hidden="1"/>
    <col min="7681" max="7688" width="8" style="4" hidden="1" customWidth="1"/>
    <col min="7689" max="7694" width="9.296875" style="4" customWidth="1"/>
    <col min="7695" max="7695" width="11.19921875" style="4" customWidth="1"/>
    <col min="7696" max="7698" width="9.296875" style="4" customWidth="1"/>
    <col min="7699" max="7699" width="3.19921875" style="4" customWidth="1"/>
    <col min="7700" max="7700" width="25.796875" style="4" customWidth="1"/>
    <col min="7701" max="7701" width="12" style="4" customWidth="1"/>
    <col min="7702" max="7936" width="8" style="4" hidden="1"/>
    <col min="7937" max="7944" width="8" style="4" hidden="1" customWidth="1"/>
    <col min="7945" max="7950" width="9.296875" style="4" customWidth="1"/>
    <col min="7951" max="7951" width="11.19921875" style="4" customWidth="1"/>
    <col min="7952" max="7954" width="9.296875" style="4" customWidth="1"/>
    <col min="7955" max="7955" width="3.19921875" style="4" customWidth="1"/>
    <col min="7956" max="7956" width="25.796875" style="4" customWidth="1"/>
    <col min="7957" max="7957" width="12" style="4" customWidth="1"/>
    <col min="7958" max="8192" width="8" style="4" hidden="1"/>
    <col min="8193" max="8200" width="8" style="4" hidden="1" customWidth="1"/>
    <col min="8201" max="8206" width="9.296875" style="4" customWidth="1"/>
    <col min="8207" max="8207" width="11.19921875" style="4" customWidth="1"/>
    <col min="8208" max="8210" width="9.296875" style="4" customWidth="1"/>
    <col min="8211" max="8211" width="3.19921875" style="4" customWidth="1"/>
    <col min="8212" max="8212" width="25.796875" style="4" customWidth="1"/>
    <col min="8213" max="8213" width="12" style="4" customWidth="1"/>
    <col min="8214" max="8448" width="8" style="4" hidden="1"/>
    <col min="8449" max="8456" width="8" style="4" hidden="1" customWidth="1"/>
    <col min="8457" max="8462" width="9.296875" style="4" customWidth="1"/>
    <col min="8463" max="8463" width="11.19921875" style="4" customWidth="1"/>
    <col min="8464" max="8466" width="9.296875" style="4" customWidth="1"/>
    <col min="8467" max="8467" width="3.19921875" style="4" customWidth="1"/>
    <col min="8468" max="8468" width="25.796875" style="4" customWidth="1"/>
    <col min="8469" max="8469" width="12" style="4" customWidth="1"/>
    <col min="8470" max="8704" width="8" style="4" hidden="1"/>
    <col min="8705" max="8712" width="8" style="4" hidden="1" customWidth="1"/>
    <col min="8713" max="8718" width="9.296875" style="4" customWidth="1"/>
    <col min="8719" max="8719" width="11.19921875" style="4" customWidth="1"/>
    <col min="8720" max="8722" width="9.296875" style="4" customWidth="1"/>
    <col min="8723" max="8723" width="3.19921875" style="4" customWidth="1"/>
    <col min="8724" max="8724" width="25.796875" style="4" customWidth="1"/>
    <col min="8725" max="8725" width="12" style="4" customWidth="1"/>
    <col min="8726" max="8960" width="8" style="4" hidden="1"/>
    <col min="8961" max="8968" width="8" style="4" hidden="1" customWidth="1"/>
    <col min="8969" max="8974" width="9.296875" style="4" customWidth="1"/>
    <col min="8975" max="8975" width="11.19921875" style="4" customWidth="1"/>
    <col min="8976" max="8978" width="9.296875" style="4" customWidth="1"/>
    <col min="8979" max="8979" width="3.19921875" style="4" customWidth="1"/>
    <col min="8980" max="8980" width="25.796875" style="4" customWidth="1"/>
    <col min="8981" max="8981" width="12" style="4" customWidth="1"/>
    <col min="8982" max="9216" width="8" style="4" hidden="1"/>
    <col min="9217" max="9224" width="8" style="4" hidden="1" customWidth="1"/>
    <col min="9225" max="9230" width="9.296875" style="4" customWidth="1"/>
    <col min="9231" max="9231" width="11.19921875" style="4" customWidth="1"/>
    <col min="9232" max="9234" width="9.296875" style="4" customWidth="1"/>
    <col min="9235" max="9235" width="3.19921875" style="4" customWidth="1"/>
    <col min="9236" max="9236" width="25.796875" style="4" customWidth="1"/>
    <col min="9237" max="9237" width="12" style="4" customWidth="1"/>
    <col min="9238" max="9472" width="8" style="4" hidden="1"/>
    <col min="9473" max="9480" width="8" style="4" hidden="1" customWidth="1"/>
    <col min="9481" max="9486" width="9.296875" style="4" customWidth="1"/>
    <col min="9487" max="9487" width="11.19921875" style="4" customWidth="1"/>
    <col min="9488" max="9490" width="9.296875" style="4" customWidth="1"/>
    <col min="9491" max="9491" width="3.19921875" style="4" customWidth="1"/>
    <col min="9492" max="9492" width="25.796875" style="4" customWidth="1"/>
    <col min="9493" max="9493" width="12" style="4" customWidth="1"/>
    <col min="9494" max="9728" width="8" style="4" hidden="1"/>
    <col min="9729" max="9736" width="8" style="4" hidden="1" customWidth="1"/>
    <col min="9737" max="9742" width="9.296875" style="4" customWidth="1"/>
    <col min="9743" max="9743" width="11.19921875" style="4" customWidth="1"/>
    <col min="9744" max="9746" width="9.296875" style="4" customWidth="1"/>
    <col min="9747" max="9747" width="3.19921875" style="4" customWidth="1"/>
    <col min="9748" max="9748" width="25.796875" style="4" customWidth="1"/>
    <col min="9749" max="9749" width="12" style="4" customWidth="1"/>
    <col min="9750" max="9984" width="8" style="4" hidden="1"/>
    <col min="9985" max="9992" width="8" style="4" hidden="1" customWidth="1"/>
    <col min="9993" max="9998" width="9.296875" style="4" customWidth="1"/>
    <col min="9999" max="9999" width="11.19921875" style="4" customWidth="1"/>
    <col min="10000" max="10002" width="9.296875" style="4" customWidth="1"/>
    <col min="10003" max="10003" width="3.19921875" style="4" customWidth="1"/>
    <col min="10004" max="10004" width="25.796875" style="4" customWidth="1"/>
    <col min="10005" max="10005" width="12" style="4" customWidth="1"/>
    <col min="10006" max="10240" width="8" style="4" hidden="1"/>
    <col min="10241" max="10248" width="8" style="4" hidden="1" customWidth="1"/>
    <col min="10249" max="10254" width="9.296875" style="4" customWidth="1"/>
    <col min="10255" max="10255" width="11.19921875" style="4" customWidth="1"/>
    <col min="10256" max="10258" width="9.296875" style="4" customWidth="1"/>
    <col min="10259" max="10259" width="3.19921875" style="4" customWidth="1"/>
    <col min="10260" max="10260" width="25.796875" style="4" customWidth="1"/>
    <col min="10261" max="10261" width="12" style="4" customWidth="1"/>
    <col min="10262" max="10496" width="8" style="4" hidden="1"/>
    <col min="10497" max="10504" width="8" style="4" hidden="1" customWidth="1"/>
    <col min="10505" max="10510" width="9.296875" style="4" customWidth="1"/>
    <col min="10511" max="10511" width="11.19921875" style="4" customWidth="1"/>
    <col min="10512" max="10514" width="9.296875" style="4" customWidth="1"/>
    <col min="10515" max="10515" width="3.19921875" style="4" customWidth="1"/>
    <col min="10516" max="10516" width="25.796875" style="4" customWidth="1"/>
    <col min="10517" max="10517" width="12" style="4" customWidth="1"/>
    <col min="10518" max="10752" width="8" style="4" hidden="1"/>
    <col min="10753" max="10760" width="8" style="4" hidden="1" customWidth="1"/>
    <col min="10761" max="10766" width="9.296875" style="4" customWidth="1"/>
    <col min="10767" max="10767" width="11.19921875" style="4" customWidth="1"/>
    <col min="10768" max="10770" width="9.296875" style="4" customWidth="1"/>
    <col min="10771" max="10771" width="3.19921875" style="4" customWidth="1"/>
    <col min="10772" max="10772" width="25.796875" style="4" customWidth="1"/>
    <col min="10773" max="10773" width="12" style="4" customWidth="1"/>
    <col min="10774" max="11008" width="8" style="4" hidden="1"/>
    <col min="11009" max="11016" width="8" style="4" hidden="1" customWidth="1"/>
    <col min="11017" max="11022" width="9.296875" style="4" customWidth="1"/>
    <col min="11023" max="11023" width="11.19921875" style="4" customWidth="1"/>
    <col min="11024" max="11026" width="9.296875" style="4" customWidth="1"/>
    <col min="11027" max="11027" width="3.19921875" style="4" customWidth="1"/>
    <col min="11028" max="11028" width="25.796875" style="4" customWidth="1"/>
    <col min="11029" max="11029" width="12" style="4" customWidth="1"/>
    <col min="11030" max="11264" width="8" style="4" hidden="1"/>
    <col min="11265" max="11272" width="8" style="4" hidden="1" customWidth="1"/>
    <col min="11273" max="11278" width="9.296875" style="4" customWidth="1"/>
    <col min="11279" max="11279" width="11.19921875" style="4" customWidth="1"/>
    <col min="11280" max="11282" width="9.296875" style="4" customWidth="1"/>
    <col min="11283" max="11283" width="3.19921875" style="4" customWidth="1"/>
    <col min="11284" max="11284" width="25.796875" style="4" customWidth="1"/>
    <col min="11285" max="11285" width="12" style="4" customWidth="1"/>
    <col min="11286" max="11520" width="8" style="4" hidden="1"/>
    <col min="11521" max="11528" width="8" style="4" hidden="1" customWidth="1"/>
    <col min="11529" max="11534" width="9.296875" style="4" customWidth="1"/>
    <col min="11535" max="11535" width="11.19921875" style="4" customWidth="1"/>
    <col min="11536" max="11538" width="9.296875" style="4" customWidth="1"/>
    <col min="11539" max="11539" width="3.19921875" style="4" customWidth="1"/>
    <col min="11540" max="11540" width="25.796875" style="4" customWidth="1"/>
    <col min="11541" max="11541" width="12" style="4" customWidth="1"/>
    <col min="11542" max="11776" width="8" style="4" hidden="1"/>
    <col min="11777" max="11784" width="8" style="4" hidden="1" customWidth="1"/>
    <col min="11785" max="11790" width="9.296875" style="4" customWidth="1"/>
    <col min="11791" max="11791" width="11.19921875" style="4" customWidth="1"/>
    <col min="11792" max="11794" width="9.296875" style="4" customWidth="1"/>
    <col min="11795" max="11795" width="3.19921875" style="4" customWidth="1"/>
    <col min="11796" max="11796" width="25.796875" style="4" customWidth="1"/>
    <col min="11797" max="11797" width="12" style="4" customWidth="1"/>
    <col min="11798" max="12032" width="8" style="4" hidden="1"/>
    <col min="12033" max="12040" width="8" style="4" hidden="1" customWidth="1"/>
    <col min="12041" max="12046" width="9.296875" style="4" customWidth="1"/>
    <col min="12047" max="12047" width="11.19921875" style="4" customWidth="1"/>
    <col min="12048" max="12050" width="9.296875" style="4" customWidth="1"/>
    <col min="12051" max="12051" width="3.19921875" style="4" customWidth="1"/>
    <col min="12052" max="12052" width="25.796875" style="4" customWidth="1"/>
    <col min="12053" max="12053" width="12" style="4" customWidth="1"/>
    <col min="12054" max="12288" width="8" style="4" hidden="1"/>
    <col min="12289" max="12296" width="8" style="4" hidden="1" customWidth="1"/>
    <col min="12297" max="12302" width="9.296875" style="4" customWidth="1"/>
    <col min="12303" max="12303" width="11.19921875" style="4" customWidth="1"/>
    <col min="12304" max="12306" width="9.296875" style="4" customWidth="1"/>
    <col min="12307" max="12307" width="3.19921875" style="4" customWidth="1"/>
    <col min="12308" max="12308" width="25.796875" style="4" customWidth="1"/>
    <col min="12309" max="12309" width="12" style="4" customWidth="1"/>
    <col min="12310" max="12544" width="8" style="4" hidden="1"/>
    <col min="12545" max="12552" width="8" style="4" hidden="1" customWidth="1"/>
    <col min="12553" max="12558" width="9.296875" style="4" customWidth="1"/>
    <col min="12559" max="12559" width="11.19921875" style="4" customWidth="1"/>
    <col min="12560" max="12562" width="9.296875" style="4" customWidth="1"/>
    <col min="12563" max="12563" width="3.19921875" style="4" customWidth="1"/>
    <col min="12564" max="12564" width="25.796875" style="4" customWidth="1"/>
    <col min="12565" max="12565" width="12" style="4" customWidth="1"/>
    <col min="12566" max="12800" width="8" style="4" hidden="1"/>
    <col min="12801" max="12808" width="8" style="4" hidden="1" customWidth="1"/>
    <col min="12809" max="12814" width="9.296875" style="4" customWidth="1"/>
    <col min="12815" max="12815" width="11.19921875" style="4" customWidth="1"/>
    <col min="12816" max="12818" width="9.296875" style="4" customWidth="1"/>
    <col min="12819" max="12819" width="3.19921875" style="4" customWidth="1"/>
    <col min="12820" max="12820" width="25.796875" style="4" customWidth="1"/>
    <col min="12821" max="12821" width="12" style="4" customWidth="1"/>
    <col min="12822" max="13056" width="8" style="4" hidden="1"/>
    <col min="13057" max="13064" width="8" style="4" hidden="1" customWidth="1"/>
    <col min="13065" max="13070" width="9.296875" style="4" customWidth="1"/>
    <col min="13071" max="13071" width="11.19921875" style="4" customWidth="1"/>
    <col min="13072" max="13074" width="9.296875" style="4" customWidth="1"/>
    <col min="13075" max="13075" width="3.19921875" style="4" customWidth="1"/>
    <col min="13076" max="13076" width="25.796875" style="4" customWidth="1"/>
    <col min="13077" max="13077" width="12" style="4" customWidth="1"/>
    <col min="13078" max="13312" width="8" style="4" hidden="1"/>
    <col min="13313" max="13320" width="8" style="4" hidden="1" customWidth="1"/>
    <col min="13321" max="13326" width="9.296875" style="4" customWidth="1"/>
    <col min="13327" max="13327" width="11.19921875" style="4" customWidth="1"/>
    <col min="13328" max="13330" width="9.296875" style="4" customWidth="1"/>
    <col min="13331" max="13331" width="3.19921875" style="4" customWidth="1"/>
    <col min="13332" max="13332" width="25.796875" style="4" customWidth="1"/>
    <col min="13333" max="13333" width="12" style="4" customWidth="1"/>
    <col min="13334" max="13568" width="8" style="4" hidden="1"/>
    <col min="13569" max="13576" width="8" style="4" hidden="1" customWidth="1"/>
    <col min="13577" max="13582" width="9.296875" style="4" customWidth="1"/>
    <col min="13583" max="13583" width="11.19921875" style="4" customWidth="1"/>
    <col min="13584" max="13586" width="9.296875" style="4" customWidth="1"/>
    <col min="13587" max="13587" width="3.19921875" style="4" customWidth="1"/>
    <col min="13588" max="13588" width="25.796875" style="4" customWidth="1"/>
    <col min="13589" max="13589" width="12" style="4" customWidth="1"/>
    <col min="13590" max="13824" width="8" style="4" hidden="1"/>
    <col min="13825" max="13832" width="8" style="4" hidden="1" customWidth="1"/>
    <col min="13833" max="13838" width="9.296875" style="4" customWidth="1"/>
    <col min="13839" max="13839" width="11.19921875" style="4" customWidth="1"/>
    <col min="13840" max="13842" width="9.296875" style="4" customWidth="1"/>
    <col min="13843" max="13843" width="3.19921875" style="4" customWidth="1"/>
    <col min="13844" max="13844" width="25.796875" style="4" customWidth="1"/>
    <col min="13845" max="13845" width="12" style="4" customWidth="1"/>
    <col min="13846" max="14080" width="8" style="4" hidden="1"/>
    <col min="14081" max="14088" width="8" style="4" hidden="1" customWidth="1"/>
    <col min="14089" max="14094" width="9.296875" style="4" customWidth="1"/>
    <col min="14095" max="14095" width="11.19921875" style="4" customWidth="1"/>
    <col min="14096" max="14098" width="9.296875" style="4" customWidth="1"/>
    <col min="14099" max="14099" width="3.19921875" style="4" customWidth="1"/>
    <col min="14100" max="14100" width="25.796875" style="4" customWidth="1"/>
    <col min="14101" max="14101" width="12" style="4" customWidth="1"/>
    <col min="14102" max="14336" width="8" style="4" hidden="1"/>
    <col min="14337" max="14344" width="8" style="4" hidden="1" customWidth="1"/>
    <col min="14345" max="14350" width="9.296875" style="4" customWidth="1"/>
    <col min="14351" max="14351" width="11.19921875" style="4" customWidth="1"/>
    <col min="14352" max="14354" width="9.296875" style="4" customWidth="1"/>
    <col min="14355" max="14355" width="3.19921875" style="4" customWidth="1"/>
    <col min="14356" max="14356" width="25.796875" style="4" customWidth="1"/>
    <col min="14357" max="14357" width="12" style="4" customWidth="1"/>
    <col min="14358" max="14592" width="8" style="4" hidden="1"/>
    <col min="14593" max="14600" width="8" style="4" hidden="1" customWidth="1"/>
    <col min="14601" max="14606" width="9.296875" style="4" customWidth="1"/>
    <col min="14607" max="14607" width="11.19921875" style="4" customWidth="1"/>
    <col min="14608" max="14610" width="9.296875" style="4" customWidth="1"/>
    <col min="14611" max="14611" width="3.19921875" style="4" customWidth="1"/>
    <col min="14612" max="14612" width="25.796875" style="4" customWidth="1"/>
    <col min="14613" max="14613" width="12" style="4" customWidth="1"/>
    <col min="14614" max="14848" width="8" style="4" hidden="1"/>
    <col min="14849" max="14856" width="8" style="4" hidden="1" customWidth="1"/>
    <col min="14857" max="14862" width="9.296875" style="4" customWidth="1"/>
    <col min="14863" max="14863" width="11.19921875" style="4" customWidth="1"/>
    <col min="14864" max="14866" width="9.296875" style="4" customWidth="1"/>
    <col min="14867" max="14867" width="3.19921875" style="4" customWidth="1"/>
    <col min="14868" max="14868" width="25.796875" style="4" customWidth="1"/>
    <col min="14869" max="14869" width="12" style="4" customWidth="1"/>
    <col min="14870" max="15104" width="8" style="4" hidden="1"/>
    <col min="15105" max="15112" width="8" style="4" hidden="1" customWidth="1"/>
    <col min="15113" max="15118" width="9.296875" style="4" customWidth="1"/>
    <col min="15119" max="15119" width="11.19921875" style="4" customWidth="1"/>
    <col min="15120" max="15122" width="9.296875" style="4" customWidth="1"/>
    <col min="15123" max="15123" width="3.19921875" style="4" customWidth="1"/>
    <col min="15124" max="15124" width="25.796875" style="4" customWidth="1"/>
    <col min="15125" max="15125" width="12" style="4" customWidth="1"/>
    <col min="15126" max="15360" width="8" style="4" hidden="1"/>
    <col min="15361" max="15368" width="8" style="4" hidden="1" customWidth="1"/>
    <col min="15369" max="15374" width="9.296875" style="4" customWidth="1"/>
    <col min="15375" max="15375" width="11.19921875" style="4" customWidth="1"/>
    <col min="15376" max="15378" width="9.296875" style="4" customWidth="1"/>
    <col min="15379" max="15379" width="3.19921875" style="4" customWidth="1"/>
    <col min="15380" max="15380" width="25.796875" style="4" customWidth="1"/>
    <col min="15381" max="15381" width="12" style="4" customWidth="1"/>
    <col min="15382" max="15616" width="8" style="4" hidden="1"/>
    <col min="15617" max="15624" width="8" style="4" hidden="1" customWidth="1"/>
    <col min="15625" max="15630" width="9.296875" style="4" customWidth="1"/>
    <col min="15631" max="15631" width="11.19921875" style="4" customWidth="1"/>
    <col min="15632" max="15634" width="9.296875" style="4" customWidth="1"/>
    <col min="15635" max="15635" width="3.19921875" style="4" customWidth="1"/>
    <col min="15636" max="15636" width="25.796875" style="4" customWidth="1"/>
    <col min="15637" max="15637" width="12" style="4" customWidth="1"/>
    <col min="15638" max="15872" width="8" style="4" hidden="1"/>
    <col min="15873" max="15880" width="8" style="4" hidden="1" customWidth="1"/>
    <col min="15881" max="15886" width="9.296875" style="4" customWidth="1"/>
    <col min="15887" max="15887" width="11.19921875" style="4" customWidth="1"/>
    <col min="15888" max="15890" width="9.296875" style="4" customWidth="1"/>
    <col min="15891" max="15891" width="3.19921875" style="4" customWidth="1"/>
    <col min="15892" max="15892" width="25.796875" style="4" customWidth="1"/>
    <col min="15893" max="15893" width="12" style="4" customWidth="1"/>
    <col min="15894" max="16128" width="8" style="4" hidden="1"/>
    <col min="16129" max="16136" width="8" style="4" hidden="1" customWidth="1"/>
    <col min="16137" max="16142" width="9.296875" style="4" customWidth="1"/>
    <col min="16143" max="16143" width="11.19921875" style="4" customWidth="1"/>
    <col min="16144" max="16146" width="9.296875" style="4" customWidth="1"/>
    <col min="16147" max="16147" width="3.19921875" style="4" customWidth="1"/>
    <col min="16148" max="16148" width="25.796875" style="4" customWidth="1"/>
    <col min="16149" max="16149" width="12" style="4" customWidth="1"/>
    <col min="16150" max="16384" width="8" style="4" hidden="1"/>
  </cols>
  <sheetData>
    <row r="1" spans="1:29" ht="15" customHeight="1" x14ac:dyDescent="0.3">
      <c r="E1" s="32" t="s">
        <v>107</v>
      </c>
      <c r="F1" s="32" t="s">
        <v>108</v>
      </c>
      <c r="G1" s="32" t="s">
        <v>109</v>
      </c>
      <c r="N1" s="33" t="s">
        <v>113</v>
      </c>
      <c r="Q1" s="34"/>
      <c r="R1" s="34"/>
    </row>
    <row r="2" spans="1:29" ht="14.4" x14ac:dyDescent="0.3">
      <c r="A2" s="4" t="s">
        <v>80</v>
      </c>
      <c r="B2" s="5" t="s">
        <v>33</v>
      </c>
      <c r="C2" s="4" t="str">
        <f t="shared" ref="C2:C49" si="0">CONCATENATE(A2,"-",B2)</f>
        <v>Construção e Reforma de Edifícios-AC</v>
      </c>
      <c r="E2" s="6">
        <v>0.03</v>
      </c>
      <c r="F2" s="6">
        <v>0.04</v>
      </c>
      <c r="G2" s="6">
        <v>5.5E-2</v>
      </c>
      <c r="Q2" s="34"/>
      <c r="R2" s="34"/>
    </row>
    <row r="3" spans="1:29" ht="13.2" x14ac:dyDescent="0.25">
      <c r="A3" s="4" t="str">
        <f>A2</f>
        <v>Construção e Reforma de Edifícios</v>
      </c>
      <c r="B3" s="5" t="s">
        <v>34</v>
      </c>
      <c r="C3" s="4" t="str">
        <f t="shared" si="0"/>
        <v>Construção e Reforma de Edifícios-SG</v>
      </c>
      <c r="E3" s="6">
        <v>8.0000000000000002E-3</v>
      </c>
      <c r="F3" s="6">
        <v>8.0000000000000002E-3</v>
      </c>
      <c r="G3" s="6">
        <v>0.01</v>
      </c>
    </row>
    <row r="4" spans="1:29" ht="13.2" x14ac:dyDescent="0.25">
      <c r="A4" s="4" t="str">
        <f>A3</f>
        <v>Construção e Reforma de Edifícios</v>
      </c>
      <c r="B4" s="5" t="s">
        <v>35</v>
      </c>
      <c r="C4" s="4" t="str">
        <f t="shared" si="0"/>
        <v>Construção e Reforma de Edifícios-R</v>
      </c>
      <c r="E4" s="6">
        <v>9.7000000000000003E-3</v>
      </c>
      <c r="F4" s="6">
        <v>1.2699999999999999E-2</v>
      </c>
      <c r="G4" s="6">
        <v>1.2699999999999999E-2</v>
      </c>
      <c r="I4" s="205" t="s">
        <v>110</v>
      </c>
      <c r="J4" s="206"/>
      <c r="K4" s="205" t="s">
        <v>111</v>
      </c>
      <c r="L4" s="207"/>
      <c r="M4" s="207"/>
      <c r="N4" s="207"/>
      <c r="O4" s="207"/>
      <c r="P4" s="207"/>
      <c r="Q4" s="207"/>
      <c r="R4" s="206"/>
    </row>
    <row r="5" spans="1:29" ht="12.75" customHeight="1" x14ac:dyDescent="0.35">
      <c r="A5" s="4" t="str">
        <f>A4</f>
        <v>Construção e Reforma de Edifícios</v>
      </c>
      <c r="B5" s="5" t="s">
        <v>38</v>
      </c>
      <c r="C5" s="4" t="str">
        <f t="shared" si="0"/>
        <v>Construção e Reforma de Edifícios-DF</v>
      </c>
      <c r="E5" s="6">
        <v>5.8999999999999999E-3</v>
      </c>
      <c r="F5" s="6">
        <v>1.23E-2</v>
      </c>
      <c r="G5" s="6">
        <v>1.3899999999999999E-2</v>
      </c>
      <c r="I5" s="208"/>
      <c r="J5" s="209"/>
      <c r="K5" s="210" t="s">
        <v>351</v>
      </c>
      <c r="L5" s="211"/>
      <c r="M5" s="211"/>
      <c r="N5" s="211"/>
      <c r="O5" s="211"/>
      <c r="P5" s="211"/>
      <c r="Q5" s="211"/>
      <c r="R5" s="212"/>
      <c r="S5" s="35"/>
    </row>
    <row r="6" spans="1:29" ht="6" customHeight="1" x14ac:dyDescent="0.25">
      <c r="A6" s="4" t="str">
        <f>A5</f>
        <v>Construção e Reforma de Edifícios</v>
      </c>
      <c r="B6" s="5" t="s">
        <v>30</v>
      </c>
      <c r="C6" s="4" t="str">
        <f t="shared" si="0"/>
        <v>Construção e Reforma de Edifícios-L</v>
      </c>
      <c r="E6" s="6">
        <v>6.1600000000000002E-2</v>
      </c>
      <c r="F6" s="6">
        <v>7.400000000000001E-2</v>
      </c>
      <c r="G6" s="6">
        <v>8.9600000000000013E-2</v>
      </c>
      <c r="I6" s="36"/>
      <c r="J6" s="36"/>
      <c r="K6" s="36"/>
      <c r="L6" s="36"/>
      <c r="M6" s="36"/>
      <c r="N6" s="36"/>
      <c r="O6" s="36"/>
      <c r="P6" s="36"/>
      <c r="Q6" s="36"/>
      <c r="R6" s="36"/>
    </row>
    <row r="7" spans="1:29" ht="13.5" customHeight="1" x14ac:dyDescent="0.25">
      <c r="A7" s="4" t="str">
        <f>A6</f>
        <v>Construção e Reforma de Edifícios</v>
      </c>
      <c r="B7" s="7" t="s">
        <v>40</v>
      </c>
      <c r="C7" s="4" t="str">
        <f t="shared" si="0"/>
        <v>Construção e Reforma de Edifícios-BDI PAD</v>
      </c>
      <c r="E7" s="6">
        <v>0.2034</v>
      </c>
      <c r="F7" s="6">
        <v>0.22120000000000001</v>
      </c>
      <c r="G7" s="6">
        <v>0.25</v>
      </c>
      <c r="I7" s="205" t="s">
        <v>112</v>
      </c>
      <c r="J7" s="207"/>
      <c r="K7" s="207"/>
      <c r="L7" s="207"/>
      <c r="M7" s="207"/>
      <c r="N7" s="207"/>
      <c r="O7" s="207"/>
      <c r="P7" s="207"/>
      <c r="Q7" s="207"/>
      <c r="R7" s="206"/>
    </row>
    <row r="8" spans="1:29" ht="13.2" x14ac:dyDescent="0.25">
      <c r="A8" s="4" t="s">
        <v>32</v>
      </c>
      <c r="B8" s="5" t="s">
        <v>33</v>
      </c>
      <c r="C8" s="4" t="str">
        <f t="shared" si="0"/>
        <v>Construção de Praças Urbanas, Rodovias, Ferrovias e recapeamento e pavimentação de vias urbanas-AC</v>
      </c>
      <c r="E8" s="6">
        <v>3.7999999999999999E-2</v>
      </c>
      <c r="F8" s="6">
        <v>4.0099999999999997E-2</v>
      </c>
      <c r="G8" s="6">
        <v>4.6699999999999998E-2</v>
      </c>
      <c r="I8" s="204" t="str">
        <f>'Planilha sintetica'!A2</f>
        <v>Obra: TRAVESSIA JARDIM MERCEDEZ - PORTAL DO LAGO</v>
      </c>
      <c r="J8" s="204"/>
      <c r="K8" s="204"/>
      <c r="L8" s="204"/>
      <c r="M8" s="204"/>
      <c r="N8" s="204"/>
      <c r="O8" s="204"/>
      <c r="P8" s="204"/>
      <c r="Q8" s="204"/>
      <c r="R8" s="204"/>
    </row>
    <row r="9" spans="1:29" ht="6" customHeight="1" x14ac:dyDescent="0.25">
      <c r="A9" s="4" t="s">
        <v>32</v>
      </c>
      <c r="B9" s="5" t="s">
        <v>34</v>
      </c>
      <c r="C9" s="4" t="str">
        <f t="shared" si="0"/>
        <v>Construção de Praças Urbanas, Rodovias, Ferrovias e recapeamento e pavimentação de vias urbanas-SG</v>
      </c>
      <c r="E9" s="6">
        <v>3.2000000000000002E-3</v>
      </c>
      <c r="F9" s="6">
        <v>4.0000000000000001E-3</v>
      </c>
      <c r="G9" s="6">
        <v>7.4000000000000003E-3</v>
      </c>
      <c r="I9" s="36"/>
      <c r="J9" s="36"/>
      <c r="K9" s="36"/>
      <c r="L9" s="36"/>
      <c r="M9" s="36"/>
      <c r="N9" s="36"/>
      <c r="O9" s="36"/>
      <c r="P9" s="36"/>
      <c r="Q9" s="36"/>
      <c r="R9" s="36"/>
    </row>
    <row r="10" spans="1:29" ht="13.2" x14ac:dyDescent="0.25">
      <c r="A10" s="4" t="s">
        <v>32</v>
      </c>
      <c r="B10" s="5" t="s">
        <v>35</v>
      </c>
      <c r="C10" s="4" t="str">
        <f t="shared" si="0"/>
        <v>Construção de Praças Urbanas, Rodovias, Ferrovias e recapeamento e pavimentação de vias urbanas-R</v>
      </c>
      <c r="E10" s="6">
        <v>5.0000000000000001E-3</v>
      </c>
      <c r="F10" s="6">
        <v>5.6000000000000008E-3</v>
      </c>
      <c r="G10" s="6">
        <v>9.7000000000000003E-3</v>
      </c>
      <c r="I10" s="205" t="s">
        <v>36</v>
      </c>
      <c r="J10" s="207"/>
      <c r="K10" s="207"/>
      <c r="L10" s="207"/>
      <c r="M10" s="207"/>
      <c r="N10" s="207"/>
      <c r="O10" s="207"/>
      <c r="P10" s="207"/>
      <c r="Q10" s="205" t="s">
        <v>37</v>
      </c>
      <c r="R10" s="206"/>
    </row>
    <row r="11" spans="1:29" ht="13.2" x14ac:dyDescent="0.25">
      <c r="A11" s="4" t="s">
        <v>32</v>
      </c>
      <c r="B11" s="5" t="s">
        <v>38</v>
      </c>
      <c r="C11" s="4" t="str">
        <f t="shared" si="0"/>
        <v>Construção de Praças Urbanas, Rodovias, Ferrovias e recapeamento e pavimentação de vias urbanas-DF</v>
      </c>
      <c r="E11" s="6">
        <v>1.0200000000000001E-2</v>
      </c>
      <c r="F11" s="6">
        <v>1.11E-2</v>
      </c>
      <c r="G11" s="6">
        <v>1.21E-2</v>
      </c>
      <c r="I11" s="213" t="s">
        <v>32</v>
      </c>
      <c r="J11" s="214"/>
      <c r="K11" s="214"/>
      <c r="L11" s="214"/>
      <c r="M11" s="214"/>
      <c r="N11" s="214"/>
      <c r="O11" s="214"/>
      <c r="P11" s="215"/>
      <c r="Q11" s="216" t="str">
        <f>[3]DADOS!$C$38</f>
        <v>Sim</v>
      </c>
      <c r="R11" s="217"/>
    </row>
    <row r="12" spans="1:29" ht="13.2" x14ac:dyDescent="0.25">
      <c r="A12" s="4" t="s">
        <v>32</v>
      </c>
      <c r="B12" s="5" t="s">
        <v>30</v>
      </c>
      <c r="C12" s="4" t="str">
        <f t="shared" si="0"/>
        <v>Construção de Praças Urbanas, Rodovias, Ferrovias e recapeamento e pavimentação de vias urbanas-L</v>
      </c>
      <c r="E12" s="6">
        <v>6.6400000000000001E-2</v>
      </c>
      <c r="F12" s="6">
        <v>7.2999999999999995E-2</v>
      </c>
      <c r="G12" s="6">
        <v>8.6899999999999991E-2</v>
      </c>
    </row>
    <row r="13" spans="1:29" ht="15" customHeight="1" x14ac:dyDescent="0.25">
      <c r="A13" s="4" t="s">
        <v>32</v>
      </c>
      <c r="B13" s="7" t="s">
        <v>40</v>
      </c>
      <c r="C13" s="4" t="str">
        <f t="shared" si="0"/>
        <v>Construção de Praças Urbanas, Rodovias, Ferrovias e recapeamento e pavimentação de vias urbanas-BDI PAD</v>
      </c>
      <c r="E13" s="6">
        <v>0.19600000000000001</v>
      </c>
      <c r="F13" s="6">
        <v>0.2097</v>
      </c>
      <c r="G13" s="6">
        <v>0.24230000000000002</v>
      </c>
      <c r="I13" s="218" t="s">
        <v>41</v>
      </c>
      <c r="J13" s="218"/>
      <c r="K13" s="218"/>
      <c r="L13" s="218"/>
      <c r="M13" s="218"/>
      <c r="N13" s="218"/>
      <c r="O13" s="218"/>
      <c r="P13" s="218"/>
      <c r="Q13" s="219">
        <v>1</v>
      </c>
      <c r="R13" s="219"/>
    </row>
    <row r="14" spans="1:29" ht="15" customHeight="1" x14ac:dyDescent="0.25">
      <c r="A14" s="4" t="s">
        <v>39</v>
      </c>
      <c r="B14" s="5" t="s">
        <v>33</v>
      </c>
      <c r="C14" s="4" t="str">
        <f t="shared" si="0"/>
        <v>Construção de Redes de Abastecimento de Água, Coleta de Esgoto-AC</v>
      </c>
      <c r="E14" s="6">
        <v>3.4300000000000004E-2</v>
      </c>
      <c r="F14" s="6">
        <v>4.9299999999999997E-2</v>
      </c>
      <c r="G14" s="6">
        <v>6.7099999999999993E-2</v>
      </c>
      <c r="I14" s="220" t="s">
        <v>42</v>
      </c>
      <c r="J14" s="220"/>
      <c r="K14" s="220"/>
      <c r="L14" s="220"/>
      <c r="M14" s="220"/>
      <c r="N14" s="220"/>
      <c r="O14" s="220"/>
      <c r="P14" s="220"/>
      <c r="Q14" s="219">
        <v>0.05</v>
      </c>
      <c r="R14" s="219"/>
    </row>
    <row r="15" spans="1:29" ht="13.2" x14ac:dyDescent="0.25">
      <c r="A15" s="4" t="str">
        <f>A14</f>
        <v>Construção de Redes de Abastecimento de Água, Coleta de Esgoto</v>
      </c>
      <c r="B15" s="5" t="s">
        <v>34</v>
      </c>
      <c r="C15" s="4" t="str">
        <f t="shared" si="0"/>
        <v>Construção de Redes de Abastecimento de Água, Coleta de Esgoto-SG</v>
      </c>
      <c r="E15" s="6">
        <v>2.8000000000000004E-3</v>
      </c>
      <c r="F15" s="6">
        <v>4.8999999999999998E-3</v>
      </c>
      <c r="G15" s="6">
        <v>7.4999999999999997E-3</v>
      </c>
    </row>
    <row r="16" spans="1:29" ht="12.75" customHeight="1" x14ac:dyDescent="0.25">
      <c r="B16" s="5"/>
      <c r="E16" s="6"/>
      <c r="F16" s="6"/>
      <c r="G16" s="6"/>
      <c r="I16" s="221" t="s">
        <v>43</v>
      </c>
      <c r="J16" s="221"/>
      <c r="K16" s="221"/>
      <c r="L16" s="221"/>
      <c r="M16" s="221" t="s">
        <v>44</v>
      </c>
      <c r="N16" s="222" t="s">
        <v>45</v>
      </c>
      <c r="O16" s="222" t="s">
        <v>46</v>
      </c>
      <c r="P16" s="223" t="s">
        <v>47</v>
      </c>
      <c r="Q16" s="223" t="s">
        <v>48</v>
      </c>
      <c r="R16" s="224" t="s">
        <v>49</v>
      </c>
      <c r="T16" s="225" t="str">
        <f>IF(V27,"Para BDI fora do intervalo estatístico, deve ser apresentado Relatório Técnico Circunstanciado justificando a adoção do percentual de cada parcela do BDI.","")</f>
        <v/>
      </c>
      <c r="U16" s="225"/>
      <c r="V16" s="8"/>
      <c r="W16" s="8"/>
      <c r="X16" s="8"/>
      <c r="Y16" s="8"/>
      <c r="Z16" s="8"/>
      <c r="AA16" s="8"/>
      <c r="AB16" s="8"/>
      <c r="AC16" s="8"/>
    </row>
    <row r="17" spans="1:31" ht="15.75" customHeight="1" x14ac:dyDescent="0.25">
      <c r="A17" s="4" t="str">
        <f>A15</f>
        <v>Construção de Redes de Abastecimento de Água, Coleta de Esgoto</v>
      </c>
      <c r="B17" s="5" t="s">
        <v>35</v>
      </c>
      <c r="C17" s="4" t="str">
        <f t="shared" si="0"/>
        <v>Construção de Redes de Abastecimento de Água, Coleta de Esgoto-R</v>
      </c>
      <c r="E17" s="6">
        <v>0.01</v>
      </c>
      <c r="F17" s="6">
        <v>1.3899999999999999E-2</v>
      </c>
      <c r="G17" s="6">
        <v>1.7399999999999999E-2</v>
      </c>
      <c r="I17" s="221"/>
      <c r="J17" s="221"/>
      <c r="K17" s="221"/>
      <c r="L17" s="221"/>
      <c r="M17" s="221"/>
      <c r="N17" s="222"/>
      <c r="O17" s="222"/>
      <c r="P17" s="223"/>
      <c r="Q17" s="223"/>
      <c r="R17" s="224"/>
      <c r="T17" s="225"/>
      <c r="U17" s="225"/>
      <c r="V17" s="8"/>
      <c r="W17" s="8"/>
      <c r="X17" s="8"/>
      <c r="Y17" s="8"/>
      <c r="Z17" s="8"/>
      <c r="AA17" s="8"/>
      <c r="AB17" s="8"/>
      <c r="AC17" s="8"/>
    </row>
    <row r="18" spans="1:31" ht="26.25" customHeight="1" x14ac:dyDescent="0.25">
      <c r="A18" s="4" t="str">
        <f>A17</f>
        <v>Construção de Redes de Abastecimento de Água, Coleta de Esgoto</v>
      </c>
      <c r="B18" s="5" t="s">
        <v>38</v>
      </c>
      <c r="C18" s="4" t="str">
        <f t="shared" si="0"/>
        <v>Construção de Redes de Abastecimento de Água, Coleta de Esgoto-DF</v>
      </c>
      <c r="E18" s="6">
        <v>9.3999999999999986E-3</v>
      </c>
      <c r="F18" s="6">
        <v>9.8999999999999991E-3</v>
      </c>
      <c r="G18" s="6">
        <v>1.1699999999999999E-2</v>
      </c>
      <c r="I18" s="226" t="str">
        <f>IF($I$11=$A$59,"Encargos Sociais incidentes sobre a mão de obra","Administração Central")</f>
        <v>Administração Central</v>
      </c>
      <c r="J18" s="226"/>
      <c r="K18" s="226"/>
      <c r="L18" s="226"/>
      <c r="M18" s="9" t="str">
        <f>IF($I$11=$A$59,"K1","AC")</f>
        <v>AC</v>
      </c>
      <c r="N18" s="71">
        <v>3.0349999999999999E-2</v>
      </c>
      <c r="O18" s="10" t="s">
        <v>50</v>
      </c>
      <c r="P18" s="11">
        <f>VLOOKUP(CONCATENATE(I$11,"-",M18),$C$2:$G$49,3,FALSE)</f>
        <v>3.7999999999999999E-2</v>
      </c>
      <c r="Q18" s="11">
        <f>VLOOKUP(CONCATENATE(I$11,"-",M18),$C$2:$G$49,4,FALSE)</f>
        <v>4.0099999999999997E-2</v>
      </c>
      <c r="R18" s="11">
        <f>VLOOKUP(CONCATENATE(I$11,"-",M18),$C$2:$G$49,5,FALSE)</f>
        <v>4.6699999999999998E-2</v>
      </c>
      <c r="T18" s="225"/>
      <c r="U18" s="225"/>
      <c r="V18" s="8"/>
      <c r="W18" s="8"/>
      <c r="X18" s="8"/>
      <c r="Y18" s="8"/>
      <c r="Z18" s="8"/>
      <c r="AA18" s="8"/>
      <c r="AB18" s="8"/>
      <c r="AC18" s="8"/>
    </row>
    <row r="19" spans="1:31" ht="26.25" customHeight="1" x14ac:dyDescent="0.25">
      <c r="A19" s="4" t="str">
        <f>A18</f>
        <v>Construção de Redes de Abastecimento de Água, Coleta de Esgoto</v>
      </c>
      <c r="B19" s="5" t="s">
        <v>30</v>
      </c>
      <c r="C19" s="4" t="str">
        <f t="shared" si="0"/>
        <v>Construção de Redes de Abastecimento de Água, Coleta de Esgoto-L</v>
      </c>
      <c r="E19" s="6">
        <v>6.7400000000000002E-2</v>
      </c>
      <c r="F19" s="6">
        <v>8.0399999999999985E-2</v>
      </c>
      <c r="G19" s="6">
        <v>9.4E-2</v>
      </c>
      <c r="I19" s="226" t="str">
        <f>IF($I$11=$A$59,"Administração Central da empresa ou consultoria - overhead","Seguro e Garantia")</f>
        <v>Seguro e Garantia</v>
      </c>
      <c r="J19" s="226"/>
      <c r="K19" s="226"/>
      <c r="L19" s="226"/>
      <c r="M19" s="9" t="str">
        <f>IF($I$11=$A$59,"K2","SG")</f>
        <v>SG</v>
      </c>
      <c r="N19" s="71">
        <v>3.2000000000000002E-3</v>
      </c>
      <c r="O19" s="10" t="s">
        <v>50</v>
      </c>
      <c r="P19" s="11">
        <f>VLOOKUP(CONCATENATE(I$11,"-",M19),$C$2:$G$49,3,FALSE)</f>
        <v>3.2000000000000002E-3</v>
      </c>
      <c r="Q19" s="11">
        <f>VLOOKUP(CONCATENATE(I$11,"-",M19),$C$2:$G$49,4,FALSE)</f>
        <v>4.0000000000000001E-3</v>
      </c>
      <c r="R19" s="11">
        <f>VLOOKUP(CONCATENATE(I$11,"-",M19),$C$2:$G$49,5,FALSE)</f>
        <v>7.4000000000000003E-3</v>
      </c>
      <c r="T19" s="225"/>
      <c r="U19" s="225"/>
      <c r="V19" s="8"/>
      <c r="W19" s="8"/>
      <c r="X19" s="8"/>
      <c r="Y19" s="8"/>
      <c r="Z19" s="8"/>
      <c r="AA19" s="8"/>
      <c r="AB19" s="8"/>
      <c r="AC19" s="8"/>
    </row>
    <row r="20" spans="1:31" ht="26.25" customHeight="1" x14ac:dyDescent="0.25">
      <c r="A20" s="4" t="str">
        <f>A19</f>
        <v>Construção de Redes de Abastecimento de Água, Coleta de Esgoto</v>
      </c>
      <c r="B20" s="7" t="s">
        <v>40</v>
      </c>
      <c r="C20" s="4" t="str">
        <f t="shared" si="0"/>
        <v>Construção de Redes de Abastecimento de Água, Coleta de Esgoto-BDI PAD</v>
      </c>
      <c r="E20" s="6">
        <v>0.20760000000000001</v>
      </c>
      <c r="F20" s="6">
        <v>0.24179999999999999</v>
      </c>
      <c r="G20" s="6">
        <v>0.26440000000000002</v>
      </c>
      <c r="I20" s="226" t="str">
        <f>IF($I$11=$A$59,"","Risco")</f>
        <v>Risco</v>
      </c>
      <c r="J20" s="226"/>
      <c r="K20" s="226"/>
      <c r="L20" s="226"/>
      <c r="M20" s="9" t="str">
        <f>IF($I$11=$A$59,"","R")</f>
        <v>R</v>
      </c>
      <c r="N20" s="71">
        <v>5.0000000000000001E-3</v>
      </c>
      <c r="O20" s="10" t="s">
        <v>50</v>
      </c>
      <c r="P20" s="11">
        <f>VLOOKUP(CONCATENATE(I$11,"-",M20),$C$2:$G$49,3,FALSE)</f>
        <v>5.0000000000000001E-3</v>
      </c>
      <c r="Q20" s="11">
        <f>VLOOKUP(CONCATENATE(I$11,"-",M20),$C$2:$G$49,4,FALSE)</f>
        <v>5.6000000000000008E-3</v>
      </c>
      <c r="R20" s="11">
        <f>VLOOKUP(CONCATENATE(I$11,"-",M20),$C$2:$G$49,5,FALSE)</f>
        <v>9.7000000000000003E-3</v>
      </c>
      <c r="T20" s="225"/>
      <c r="U20" s="225"/>
      <c r="V20" s="8"/>
      <c r="W20" s="8"/>
      <c r="X20" s="8"/>
      <c r="Y20" s="8"/>
      <c r="Z20" s="8"/>
      <c r="AA20" s="8"/>
      <c r="AB20" s="8"/>
      <c r="AC20" s="8"/>
    </row>
    <row r="21" spans="1:31" ht="26.25" customHeight="1" x14ac:dyDescent="0.25">
      <c r="A21" s="4" t="s">
        <v>51</v>
      </c>
      <c r="B21" s="5" t="s">
        <v>33</v>
      </c>
      <c r="C21" s="4" t="str">
        <f t="shared" si="0"/>
        <v>Construção e Manutenção de Estações e Redes de Distribuição de Energia Elétrica-AC</v>
      </c>
      <c r="E21" s="6">
        <v>5.2900000000000003E-2</v>
      </c>
      <c r="F21" s="6">
        <v>5.9200000000000003E-2</v>
      </c>
      <c r="G21" s="6">
        <v>7.9299999999999995E-2</v>
      </c>
      <c r="I21" s="226" t="str">
        <f>IF($I$11=$A$59,"","Despesas Financeiras")</f>
        <v>Despesas Financeiras</v>
      </c>
      <c r="J21" s="226"/>
      <c r="K21" s="226"/>
      <c r="L21" s="226"/>
      <c r="M21" s="9" t="str">
        <f>IF($I$11=$A$59,"","DF")</f>
        <v>DF</v>
      </c>
      <c r="N21" s="71">
        <v>1.0200000000000001E-2</v>
      </c>
      <c r="O21" s="10" t="s">
        <v>50</v>
      </c>
      <c r="P21" s="11">
        <f>VLOOKUP(CONCATENATE(I$11,"-",M21),$C$2:$G$49,3,FALSE)</f>
        <v>1.0200000000000001E-2</v>
      </c>
      <c r="Q21" s="11">
        <f>VLOOKUP(CONCATENATE(I$11,"-",M21),$C$2:$G$49,4,FALSE)</f>
        <v>1.11E-2</v>
      </c>
      <c r="R21" s="11">
        <f>VLOOKUP(CONCATENATE(I$11,"-",M21),$C$2:$G$49,5,FALSE)</f>
        <v>1.21E-2</v>
      </c>
      <c r="T21" s="225"/>
      <c r="U21" s="225"/>
    </row>
    <row r="22" spans="1:31" ht="26.25" customHeight="1" x14ac:dyDescent="0.25">
      <c r="A22" s="4" t="str">
        <f>A21</f>
        <v>Construção e Manutenção de Estações e Redes de Distribuição de Energia Elétrica</v>
      </c>
      <c r="B22" s="5" t="s">
        <v>34</v>
      </c>
      <c r="C22" s="4" t="str">
        <f t="shared" si="0"/>
        <v>Construção e Manutenção de Estações e Redes de Distribuição de Energia Elétrica-SG</v>
      </c>
      <c r="E22" s="6">
        <v>2.5000000000000001E-3</v>
      </c>
      <c r="F22" s="6">
        <v>5.1000000000000004E-3</v>
      </c>
      <c r="G22" s="6">
        <v>5.6000000000000008E-3</v>
      </c>
      <c r="I22" s="226" t="str">
        <f>IF($I$11=$A$59,"Margem bruta da empresa de consultoria","Lucro")</f>
        <v>Lucro</v>
      </c>
      <c r="J22" s="226"/>
      <c r="K22" s="226"/>
      <c r="L22" s="226"/>
      <c r="M22" s="9" t="str">
        <f>IF($I$11=$A$59,"K3","L")</f>
        <v>L</v>
      </c>
      <c r="N22" s="71">
        <v>6.6400000000000001E-2</v>
      </c>
      <c r="O22" s="10" t="s">
        <v>50</v>
      </c>
      <c r="P22" s="11">
        <f>VLOOKUP(CONCATENATE(I$11,"-",M22),$C$2:$G$49,3,FALSE)</f>
        <v>6.6400000000000001E-2</v>
      </c>
      <c r="Q22" s="11">
        <f>VLOOKUP(CONCATENATE(I$11,"-",M22),$C$2:$G$49,4,FALSE)</f>
        <v>7.2999999999999995E-2</v>
      </c>
      <c r="R22" s="11">
        <f>VLOOKUP(CONCATENATE(I$11,"-",M22),$C$2:$G$49,5,FALSE)</f>
        <v>8.6899999999999991E-2</v>
      </c>
      <c r="T22" s="225"/>
      <c r="U22" s="225"/>
    </row>
    <row r="23" spans="1:31" ht="26.25" customHeight="1" x14ac:dyDescent="0.25">
      <c r="A23" s="4" t="str">
        <f>A22</f>
        <v>Construção e Manutenção de Estações e Redes de Distribuição de Energia Elétrica</v>
      </c>
      <c r="B23" s="5" t="s">
        <v>35</v>
      </c>
      <c r="C23" s="4" t="str">
        <f t="shared" si="0"/>
        <v>Construção e Manutenção de Estações e Redes de Distribuição de Energia Elétrica-R</v>
      </c>
      <c r="E23" s="6">
        <v>0.01</v>
      </c>
      <c r="F23" s="6">
        <v>1.4800000000000001E-2</v>
      </c>
      <c r="G23" s="6">
        <v>1.9699999999999999E-2</v>
      </c>
      <c r="I23" s="227" t="s">
        <v>52</v>
      </c>
      <c r="J23" s="227"/>
      <c r="K23" s="227"/>
      <c r="L23" s="227"/>
      <c r="M23" s="9" t="s">
        <v>53</v>
      </c>
      <c r="N23" s="71">
        <v>3.6499999999999998E-2</v>
      </c>
      <c r="O23" s="10" t="s">
        <v>50</v>
      </c>
      <c r="P23" s="11">
        <v>3.6499999999999998E-2</v>
      </c>
      <c r="Q23" s="11">
        <v>3.6499999999999998E-2</v>
      </c>
      <c r="R23" s="11">
        <v>3.6499999999999998E-2</v>
      </c>
      <c r="T23" s="225"/>
      <c r="U23" s="225"/>
    </row>
    <row r="24" spans="1:31" ht="26.25" customHeight="1" x14ac:dyDescent="0.25">
      <c r="A24" s="4" t="str">
        <f>A23</f>
        <v>Construção e Manutenção de Estações e Redes de Distribuição de Energia Elétrica</v>
      </c>
      <c r="B24" s="5" t="s">
        <v>38</v>
      </c>
      <c r="C24" s="4" t="str">
        <f t="shared" si="0"/>
        <v>Construção e Manutenção de Estações e Redes de Distribuição de Energia Elétrica-DF</v>
      </c>
      <c r="E24" s="6">
        <v>1.01E-2</v>
      </c>
      <c r="F24" s="6">
        <v>1.0700000000000001E-2</v>
      </c>
      <c r="G24" s="6">
        <v>1.11E-2</v>
      </c>
      <c r="I24" s="226" t="s">
        <v>54</v>
      </c>
      <c r="J24" s="226"/>
      <c r="K24" s="226"/>
      <c r="L24" s="226"/>
      <c r="M24" s="9" t="s">
        <v>55</v>
      </c>
      <c r="N24" s="11">
        <f>Q14</f>
        <v>0.05</v>
      </c>
      <c r="O24" s="10" t="s">
        <v>50</v>
      </c>
      <c r="P24" s="11">
        <v>0</v>
      </c>
      <c r="Q24" s="11">
        <v>2.5000000000000001E-2</v>
      </c>
      <c r="R24" s="11">
        <v>0.05</v>
      </c>
      <c r="T24" s="225"/>
      <c r="U24" s="225"/>
    </row>
    <row r="25" spans="1:31" ht="26.25" customHeight="1" x14ac:dyDescent="0.25">
      <c r="A25" s="4" t="str">
        <f>A24</f>
        <v>Construção e Manutenção de Estações e Redes de Distribuição de Energia Elétrica</v>
      </c>
      <c r="B25" s="5" t="s">
        <v>30</v>
      </c>
      <c r="C25" s="4" t="str">
        <f t="shared" si="0"/>
        <v>Construção e Manutenção de Estações e Redes de Distribuição de Energia Elétrica-L</v>
      </c>
      <c r="E25" s="6">
        <v>0.08</v>
      </c>
      <c r="F25" s="6">
        <v>8.3100000000000007E-2</v>
      </c>
      <c r="G25" s="6">
        <v>9.5100000000000004E-2</v>
      </c>
      <c r="I25" s="226" t="s">
        <v>56</v>
      </c>
      <c r="J25" s="226"/>
      <c r="K25" s="226"/>
      <c r="L25" s="226"/>
      <c r="M25" s="9" t="s">
        <v>57</v>
      </c>
      <c r="N25" s="11">
        <f>IF(AND($I$11&lt;&gt;$A$58,Q11="Sim"),4.5%,0%)</f>
        <v>4.4999999999999998E-2</v>
      </c>
      <c r="O25" s="10" t="str">
        <f>IF(AND(N25&gt;=P25, N25&lt;=R25), "OK", "Não OK")</f>
        <v>OK</v>
      </c>
      <c r="P25" s="12">
        <v>0</v>
      </c>
      <c r="Q25" s="12">
        <v>4.4999999999999998E-2</v>
      </c>
      <c r="R25" s="12">
        <v>4.4999999999999998E-2</v>
      </c>
    </row>
    <row r="26" spans="1:31" ht="30.75" customHeight="1" x14ac:dyDescent="0.3">
      <c r="A26" s="4" t="str">
        <f>A25</f>
        <v>Construção e Manutenção de Estações e Redes de Distribuição de Energia Elétrica</v>
      </c>
      <c r="B26" s="7" t="s">
        <v>40</v>
      </c>
      <c r="C26" s="4" t="str">
        <f t="shared" si="0"/>
        <v>Construção e Manutenção de Estações e Redes de Distribuição de Energia Elétrica-BDI PAD</v>
      </c>
      <c r="E26" s="6">
        <v>0.24</v>
      </c>
      <c r="F26" s="6">
        <v>0.25840000000000002</v>
      </c>
      <c r="G26" s="6">
        <v>0.27860000000000001</v>
      </c>
      <c r="I26" s="226" t="s">
        <v>58</v>
      </c>
      <c r="J26" s="226"/>
      <c r="K26" s="226"/>
      <c r="L26" s="226"/>
      <c r="M26" s="13" t="s">
        <v>40</v>
      </c>
      <c r="N26" s="11">
        <f>IF($I$11=$A$58,0,ROUND((((1+N18+N19+N20)*(1+N21)*(1+N22)/(1-(N23+N24)))-1),4))</f>
        <v>0.22470000000000001</v>
      </c>
      <c r="O26" s="23" t="str">
        <f>IF(OR($I$11=$A$59,$I$11=$A$58,AND(N26&gt;=P26, N26&lt;=R26)), "OK", "FORA DO INTERVALO")</f>
        <v>OK</v>
      </c>
      <c r="P26" s="11">
        <f>IF($I$11=$A$58,0,VLOOKUP(CONCATENATE($I$11,"-",$M26),$C$2:$G$49,3,FALSE))</f>
        <v>0.19600000000000001</v>
      </c>
      <c r="Q26" s="11">
        <f>IF($I$11=$A$58,0,VLOOKUP(CONCATENATE($I$11,"-",$M26),$C$2:$G$49,4,FALSE))</f>
        <v>0.2097</v>
      </c>
      <c r="R26" s="11">
        <f>IF($I$11=$A$58,0,VLOOKUP(CONCATENATE($I$11,"-",$M26),$C$2:$G$49,5,FALSE))</f>
        <v>0.24230000000000002</v>
      </c>
      <c r="T26" s="14"/>
      <c r="V26" s="8"/>
      <c r="W26" s="8"/>
      <c r="X26" s="8"/>
      <c r="Y26" s="8"/>
      <c r="Z26" s="8"/>
      <c r="AA26" s="8"/>
      <c r="AB26" s="8"/>
      <c r="AC26" s="8"/>
      <c r="AD26" s="8"/>
      <c r="AE26" s="8"/>
    </row>
    <row r="27" spans="1:31" ht="30" customHeight="1" x14ac:dyDescent="0.3">
      <c r="A27" s="4" t="s">
        <v>59</v>
      </c>
      <c r="B27" s="5" t="s">
        <v>33</v>
      </c>
      <c r="C27" s="4" t="str">
        <f t="shared" si="0"/>
        <v>Obras Portuárias, Marítimas e Fluviais-AC</v>
      </c>
      <c r="E27" s="6">
        <v>0.04</v>
      </c>
      <c r="F27" s="6">
        <v>5.5199999999999999E-2</v>
      </c>
      <c r="G27" s="6">
        <v>7.85E-2</v>
      </c>
      <c r="I27" s="229" t="s">
        <v>60</v>
      </c>
      <c r="J27" s="229"/>
      <c r="K27" s="229"/>
      <c r="L27" s="229"/>
      <c r="M27" s="24" t="s">
        <v>61</v>
      </c>
      <c r="N27" s="25">
        <f>IF($I$11=$A$58,0,ROUND((((1+N18+N19+N20)*(1+N21)*(1+N22)/(1-(N23+N24+N25)))-1),4))</f>
        <v>0.28820000000000001</v>
      </c>
      <c r="O27" s="15" t="str">
        <f>IF(Q11&lt;&gt;"Sim","",O26)</f>
        <v>OK</v>
      </c>
      <c r="P27" s="230"/>
      <c r="Q27" s="230"/>
      <c r="R27" s="230"/>
      <c r="T27" s="14"/>
      <c r="V27" s="16" t="b">
        <f>AND(COUNTA(N18:N23)=6,O26&lt;&gt;"ok",NOT(V29))</f>
        <v>0</v>
      </c>
      <c r="W27" s="4" t="s">
        <v>62</v>
      </c>
    </row>
    <row r="28" spans="1:31" ht="7.5" customHeight="1" x14ac:dyDescent="0.25">
      <c r="A28" s="4" t="str">
        <f>A27</f>
        <v>Obras Portuárias, Marítimas e Fluviais</v>
      </c>
      <c r="B28" s="5" t="s">
        <v>34</v>
      </c>
      <c r="C28" s="4" t="str">
        <f t="shared" si="0"/>
        <v>Obras Portuárias, Marítimas e Fluviais-SG</v>
      </c>
      <c r="E28" s="6">
        <v>8.1000000000000013E-3</v>
      </c>
      <c r="F28" s="6">
        <v>1.2199999999999999E-2</v>
      </c>
      <c r="G28" s="6">
        <v>1.9900000000000001E-2</v>
      </c>
      <c r="V28" s="16"/>
    </row>
    <row r="29" spans="1:31" ht="5.4" customHeight="1" x14ac:dyDescent="0.25">
      <c r="A29" s="4" t="str">
        <f>A28</f>
        <v>Obras Portuárias, Marítimas e Fluviais</v>
      </c>
      <c r="B29" s="5" t="s">
        <v>35</v>
      </c>
      <c r="C29" s="4" t="str">
        <f t="shared" si="0"/>
        <v>Obras Portuárias, Marítimas e Fluviais-R</v>
      </c>
      <c r="E29" s="6">
        <v>1.46E-2</v>
      </c>
      <c r="F29" s="6">
        <v>2.3199999999999998E-2</v>
      </c>
      <c r="G29" s="6">
        <v>3.1600000000000003E-2</v>
      </c>
      <c r="I29" s="20" t="str">
        <f>IF(V29,"X","")</f>
        <v/>
      </c>
      <c r="J29" s="231" t="s">
        <v>63</v>
      </c>
      <c r="K29" s="231"/>
      <c r="L29" s="231"/>
      <c r="M29" s="231"/>
      <c r="N29" s="231"/>
      <c r="O29" s="231"/>
      <c r="P29" s="231"/>
      <c r="Q29" s="231"/>
      <c r="R29" s="231"/>
      <c r="V29" s="16" t="b">
        <v>0</v>
      </c>
      <c r="W29" s="4" t="s">
        <v>64</v>
      </c>
    </row>
    <row r="30" spans="1:31" ht="1.2" customHeight="1" x14ac:dyDescent="0.25">
      <c r="B30" s="5"/>
      <c r="E30" s="6"/>
      <c r="F30" s="6"/>
      <c r="G30" s="6"/>
      <c r="V30" s="16"/>
    </row>
    <row r="31" spans="1:31" ht="18.75" customHeight="1" x14ac:dyDescent="0.25">
      <c r="B31" s="5"/>
      <c r="E31" s="6"/>
      <c r="F31" s="6"/>
      <c r="G31" s="6"/>
      <c r="I31" s="232" t="s">
        <v>65</v>
      </c>
      <c r="J31" s="232"/>
      <c r="K31" s="232"/>
      <c r="L31" s="232"/>
      <c r="M31" s="232"/>
      <c r="N31" s="232"/>
      <c r="O31" s="232"/>
      <c r="P31" s="232"/>
      <c r="Q31" s="232"/>
      <c r="R31" s="232"/>
    </row>
    <row r="32" spans="1:31" ht="30" customHeight="1" x14ac:dyDescent="0.3">
      <c r="A32" s="4" t="str">
        <f>A29</f>
        <v>Obras Portuárias, Marítimas e Fluviais</v>
      </c>
      <c r="B32" s="5" t="s">
        <v>38</v>
      </c>
      <c r="C32" s="4" t="str">
        <f t="shared" si="0"/>
        <v>Obras Portuárias, Marítimas e Fluviais-DF</v>
      </c>
      <c r="E32" s="6">
        <v>9.3999999999999986E-3</v>
      </c>
      <c r="F32" s="6">
        <v>1.0200000000000001E-2</v>
      </c>
      <c r="G32" s="6">
        <v>1.3300000000000001E-2</v>
      </c>
      <c r="I32" s="21"/>
      <c r="J32" s="21"/>
      <c r="K32" s="21"/>
      <c r="L32" s="233" t="str">
        <f>IF(Q11="Sim","BDI.DES =","BDI.PAD =")</f>
        <v>BDI.DES =</v>
      </c>
      <c r="M32" s="234" t="str">
        <f>IF($I$11=$A$59,"(1+K1+K2)*(1+K3)","(1+AC + S + R + G)*(1 + DF)*(1+L)")</f>
        <v>(1+AC + S + R + G)*(1 + DF)*(1+L)</v>
      </c>
      <c r="N32" s="234"/>
      <c r="O32" s="234"/>
      <c r="P32" s="235" t="s">
        <v>66</v>
      </c>
      <c r="Q32" s="21"/>
      <c r="R32" s="21"/>
    </row>
    <row r="33" spans="1:18" ht="16.2" customHeight="1" x14ac:dyDescent="0.25">
      <c r="A33" s="4" t="str">
        <f>A32</f>
        <v>Obras Portuárias, Marítimas e Fluviais</v>
      </c>
      <c r="B33" s="5" t="s">
        <v>30</v>
      </c>
      <c r="C33" s="4" t="str">
        <f t="shared" si="0"/>
        <v>Obras Portuárias, Marítimas e Fluviais-L</v>
      </c>
      <c r="E33" s="6">
        <v>7.1399999999999991E-2</v>
      </c>
      <c r="F33" s="6">
        <v>8.4000000000000005E-2</v>
      </c>
      <c r="G33" s="6">
        <v>0.1043</v>
      </c>
      <c r="I33" s="21"/>
      <c r="J33" s="21"/>
      <c r="K33" s="21"/>
      <c r="L33" s="233"/>
      <c r="M33" s="237" t="str">
        <f>IF(Q11="Sim","(1-CP-ISS-CRPB)","(1-CP-ISS)")</f>
        <v>(1-CP-ISS-CRPB)</v>
      </c>
      <c r="N33" s="237"/>
      <c r="O33" s="237"/>
      <c r="P33" s="236"/>
      <c r="Q33" s="21"/>
      <c r="R33" s="21"/>
    </row>
    <row r="34" spans="1:18" ht="7.5" customHeight="1" x14ac:dyDescent="0.25">
      <c r="A34" s="4" t="str">
        <f>A33</f>
        <v>Obras Portuárias, Marítimas e Fluviais</v>
      </c>
      <c r="B34" s="7" t="s">
        <v>40</v>
      </c>
      <c r="C34" s="4" t="str">
        <f t="shared" si="0"/>
        <v>Obras Portuárias, Marítimas e Fluviais-BDI PAD</v>
      </c>
      <c r="E34" s="6">
        <v>0.22800000000000001</v>
      </c>
      <c r="F34" s="6">
        <v>0.27479999999999999</v>
      </c>
      <c r="G34" s="6">
        <v>0.3095</v>
      </c>
      <c r="I34" s="22"/>
      <c r="J34" s="22"/>
      <c r="K34" s="22"/>
      <c r="L34" s="22"/>
      <c r="M34" s="22"/>
      <c r="N34" s="22"/>
      <c r="O34" s="22"/>
      <c r="P34" s="22"/>
      <c r="Q34" s="22"/>
      <c r="R34" s="22"/>
    </row>
    <row r="35" spans="1:18" ht="45" customHeight="1" x14ac:dyDescent="0.25">
      <c r="B35" s="7"/>
      <c r="E35" s="6"/>
      <c r="F35" s="6"/>
      <c r="G35" s="6"/>
      <c r="I35" s="228"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100%, com a respectiva alíquota de 5%.</v>
      </c>
      <c r="J35" s="228"/>
      <c r="K35" s="228"/>
      <c r="L35" s="228"/>
      <c r="M35" s="228"/>
      <c r="N35" s="228"/>
      <c r="O35" s="228"/>
      <c r="P35" s="228"/>
      <c r="Q35" s="228"/>
      <c r="R35" s="228"/>
    </row>
    <row r="36" spans="1:18" ht="11.25" customHeight="1" x14ac:dyDescent="0.25">
      <c r="B36" s="7"/>
      <c r="E36" s="6"/>
      <c r="F36" s="6"/>
      <c r="G36" s="6"/>
    </row>
    <row r="37" spans="1:18" ht="52.5" customHeight="1" x14ac:dyDescent="0.25">
      <c r="B37" s="7"/>
      <c r="E37" s="6"/>
      <c r="F37" s="6"/>
      <c r="G37" s="6"/>
      <c r="I37" s="228"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228"/>
      <c r="K37" s="228"/>
      <c r="L37" s="228"/>
      <c r="M37" s="228"/>
      <c r="N37" s="228"/>
      <c r="O37" s="228"/>
      <c r="P37" s="228"/>
      <c r="Q37" s="228"/>
      <c r="R37" s="228"/>
    </row>
    <row r="38" spans="1:18" ht="18" customHeight="1" x14ac:dyDescent="0.25">
      <c r="A38" s="4" t="s">
        <v>67</v>
      </c>
      <c r="B38" s="5" t="s">
        <v>33</v>
      </c>
      <c r="C38" s="4" t="str">
        <f t="shared" si="0"/>
        <v>Fornecimento de Materiais e Equipamentos (aquisição indireta - em conjunto com licitação de obras)-AC</v>
      </c>
      <c r="E38" s="6">
        <v>1.4999999999999999E-2</v>
      </c>
      <c r="F38" s="6">
        <v>3.4500000000000003E-2</v>
      </c>
      <c r="G38" s="6">
        <v>4.4900000000000002E-2</v>
      </c>
    </row>
    <row r="39" spans="1:18" ht="13.2" x14ac:dyDescent="0.25">
      <c r="A39" s="4" t="str">
        <f>A38</f>
        <v>Fornecimento de Materiais e Equipamentos (aquisição indireta - em conjunto com licitação de obras)</v>
      </c>
      <c r="B39" s="5" t="s">
        <v>34</v>
      </c>
      <c r="C39" s="4" t="str">
        <f t="shared" si="0"/>
        <v>Fornecimento de Materiais e Equipamentos (aquisição indireta - em conjunto com licitação de obras)-SG</v>
      </c>
      <c r="E39" s="6">
        <v>3.0000000000000001E-3</v>
      </c>
      <c r="F39" s="6">
        <v>4.7999999999999996E-3</v>
      </c>
      <c r="G39" s="6">
        <v>8.199999999999999E-3</v>
      </c>
      <c r="I39" s="4" t="s">
        <v>68</v>
      </c>
    </row>
    <row r="40" spans="1:18" ht="13.2" x14ac:dyDescent="0.25">
      <c r="A40" s="4" t="str">
        <f>A39</f>
        <v>Fornecimento de Materiais e Equipamentos (aquisição indireta - em conjunto com licitação de obras)</v>
      </c>
      <c r="B40" s="5" t="s">
        <v>35</v>
      </c>
      <c r="C40" s="4" t="str">
        <f t="shared" si="0"/>
        <v>Fornecimento de Materiais e Equipamentos (aquisição indireta - em conjunto com licitação de obras)-R</v>
      </c>
      <c r="E40" s="6">
        <v>5.6000000000000008E-3</v>
      </c>
      <c r="F40" s="6">
        <v>8.5000000000000006E-3</v>
      </c>
      <c r="G40" s="6">
        <v>8.8999999999999999E-3</v>
      </c>
      <c r="I40" s="238"/>
      <c r="J40" s="239"/>
      <c r="K40" s="239"/>
      <c r="L40" s="239"/>
      <c r="M40" s="239"/>
      <c r="N40" s="239"/>
      <c r="O40" s="239"/>
      <c r="P40" s="239"/>
      <c r="Q40" s="239"/>
      <c r="R40" s="240"/>
    </row>
    <row r="41" spans="1:18" ht="16.5" customHeight="1" x14ac:dyDescent="0.25">
      <c r="A41" s="4" t="str">
        <f>A40</f>
        <v>Fornecimento de Materiais e Equipamentos (aquisição indireta - em conjunto com licitação de obras)</v>
      </c>
      <c r="B41" s="5" t="s">
        <v>38</v>
      </c>
      <c r="C41" s="4" t="str">
        <f t="shared" si="0"/>
        <v>Fornecimento de Materiais e Equipamentos (aquisição indireta - em conjunto com licitação de obras)-DF</v>
      </c>
      <c r="E41" s="6">
        <v>8.5000000000000006E-3</v>
      </c>
      <c r="F41" s="6">
        <v>8.5000000000000006E-3</v>
      </c>
      <c r="G41" s="6">
        <v>1.11E-2</v>
      </c>
    </row>
    <row r="42" spans="1:18" ht="13.2" x14ac:dyDescent="0.25">
      <c r="A42" s="4" t="str">
        <f>A41</f>
        <v>Fornecimento de Materiais e Equipamentos (aquisição indireta - em conjunto com licitação de obras)</v>
      </c>
      <c r="B42" s="5" t="s">
        <v>30</v>
      </c>
      <c r="C42" s="4" t="str">
        <f t="shared" si="0"/>
        <v>Fornecimento de Materiais e Equipamentos (aquisição indireta - em conjunto com licitação de obras)-L</v>
      </c>
      <c r="E42" s="6">
        <v>3.5000000000000003E-2</v>
      </c>
      <c r="F42" s="6">
        <v>5.1100000000000007E-2</v>
      </c>
      <c r="G42" s="6">
        <v>6.2199999999999998E-2</v>
      </c>
      <c r="I42" s="241" t="s">
        <v>1992</v>
      </c>
      <c r="J42" s="241"/>
      <c r="K42" s="241"/>
      <c r="L42" s="241"/>
      <c r="O42" s="285" t="s">
        <v>1994</v>
      </c>
      <c r="P42" s="285"/>
      <c r="Q42" s="285"/>
      <c r="R42" s="285"/>
    </row>
    <row r="43" spans="1:18" ht="15" customHeight="1" x14ac:dyDescent="0.25">
      <c r="A43" s="4" t="str">
        <f>A42</f>
        <v>Fornecimento de Materiais e Equipamentos (aquisição indireta - em conjunto com licitação de obras)</v>
      </c>
      <c r="B43" s="7" t="s">
        <v>40</v>
      </c>
      <c r="C43" s="4" t="str">
        <f t="shared" si="0"/>
        <v>Fornecimento de Materiais e Equipamentos (aquisição indireta - em conjunto com licitação de obras)-BDI PAD</v>
      </c>
      <c r="E43" s="6">
        <v>0.111</v>
      </c>
      <c r="F43" s="6">
        <v>0.14019999999999999</v>
      </c>
      <c r="G43" s="6">
        <v>0.16800000000000001</v>
      </c>
      <c r="I43" s="242" t="s">
        <v>69</v>
      </c>
      <c r="J43" s="242"/>
      <c r="K43" s="242"/>
      <c r="L43" s="242"/>
      <c r="N43" s="26"/>
      <c r="O43" s="27" t="s">
        <v>70</v>
      </c>
      <c r="P43" s="28"/>
      <c r="Q43" s="28"/>
      <c r="R43" s="28"/>
    </row>
    <row r="44" spans="1:18" ht="13.2" x14ac:dyDescent="0.25">
      <c r="A44" s="4" t="s">
        <v>71</v>
      </c>
      <c r="B44" s="5" t="s">
        <v>72</v>
      </c>
      <c r="C44" s="4" t="str">
        <f t="shared" si="0"/>
        <v>Estudos e Projetos, Planos e Gerenciamento e outros correlatos-K1</v>
      </c>
      <c r="E44" s="6" t="s">
        <v>50</v>
      </c>
      <c r="F44" s="6" t="s">
        <v>50</v>
      </c>
      <c r="G44" s="6" t="s">
        <v>50</v>
      </c>
    </row>
    <row r="45" spans="1:18" ht="30" customHeight="1" x14ac:dyDescent="0.25">
      <c r="A45" s="4" t="str">
        <f>A44</f>
        <v>Estudos e Projetos, Planos e Gerenciamento e outros correlatos</v>
      </c>
      <c r="B45" s="5" t="s">
        <v>73</v>
      </c>
      <c r="C45" s="4" t="str">
        <f t="shared" si="0"/>
        <v>Estudos e Projetos, Planos e Gerenciamento e outros correlatos-K2</v>
      </c>
      <c r="E45" s="6" t="s">
        <v>50</v>
      </c>
      <c r="F45" s="6">
        <v>0.2</v>
      </c>
      <c r="G45" s="6" t="s">
        <v>50</v>
      </c>
      <c r="I45" s="243"/>
      <c r="J45" s="243"/>
      <c r="K45" s="243"/>
      <c r="L45" s="243"/>
      <c r="M45" s="29"/>
      <c r="N45" s="29"/>
      <c r="O45" s="243"/>
      <c r="P45" s="243"/>
      <c r="Q45" s="243"/>
      <c r="R45" s="243"/>
    </row>
    <row r="46" spans="1:18" ht="13.2" x14ac:dyDescent="0.25">
      <c r="A46" s="4" t="str">
        <f>A45</f>
        <v>Estudos e Projetos, Planos e Gerenciamento e outros correlatos</v>
      </c>
      <c r="B46" s="5" t="s">
        <v>27</v>
      </c>
      <c r="C46" s="4" t="str">
        <f t="shared" si="0"/>
        <v>Estudos e Projetos, Planos e Gerenciamento e outros correlatos-</v>
      </c>
      <c r="E46" s="6" t="s">
        <v>50</v>
      </c>
      <c r="F46" s="6" t="s">
        <v>50</v>
      </c>
      <c r="G46" s="6" t="s">
        <v>50</v>
      </c>
      <c r="I46" s="245" t="s">
        <v>74</v>
      </c>
      <c r="J46" s="245"/>
      <c r="K46" s="245"/>
      <c r="L46" s="245"/>
      <c r="M46" s="30"/>
      <c r="N46" s="30"/>
      <c r="O46" s="245" t="s">
        <v>75</v>
      </c>
      <c r="P46" s="245"/>
      <c r="Q46" s="245"/>
      <c r="R46" s="245"/>
    </row>
    <row r="47" spans="1:18" ht="13.8" x14ac:dyDescent="0.25">
      <c r="A47" s="4" t="str">
        <f>A46</f>
        <v>Estudos e Projetos, Planos e Gerenciamento e outros correlatos</v>
      </c>
      <c r="B47" s="5" t="s">
        <v>27</v>
      </c>
      <c r="C47" s="4" t="str">
        <f t="shared" si="0"/>
        <v>Estudos e Projetos, Planos e Gerenciamento e outros correlatos-</v>
      </c>
      <c r="E47" s="6" t="s">
        <v>50</v>
      </c>
      <c r="F47" s="6" t="s">
        <v>50</v>
      </c>
      <c r="G47" s="6" t="s">
        <v>50</v>
      </c>
      <c r="I47" s="31" t="s">
        <v>76</v>
      </c>
      <c r="J47" s="244" t="s">
        <v>1993</v>
      </c>
      <c r="K47" s="244"/>
      <c r="L47" s="244"/>
      <c r="M47" s="18"/>
      <c r="N47" s="18"/>
      <c r="O47" s="31" t="s">
        <v>76</v>
      </c>
      <c r="P47" s="246"/>
      <c r="Q47" s="246"/>
      <c r="R47" s="246"/>
    </row>
    <row r="48" spans="1:18" ht="13.8" x14ac:dyDescent="0.25">
      <c r="A48" s="4" t="str">
        <f>A47</f>
        <v>Estudos e Projetos, Planos e Gerenciamento e outros correlatos</v>
      </c>
      <c r="B48" s="5" t="s">
        <v>77</v>
      </c>
      <c r="C48" s="4" t="str">
        <f t="shared" si="0"/>
        <v>Estudos e Projetos, Planos e Gerenciamento e outros correlatos-K3</v>
      </c>
      <c r="E48" s="6" t="s">
        <v>50</v>
      </c>
      <c r="F48" s="6">
        <v>0.12</v>
      </c>
      <c r="G48" s="6" t="s">
        <v>50</v>
      </c>
      <c r="I48" s="31" t="s">
        <v>78</v>
      </c>
      <c r="J48" s="244" t="str">
        <f>[3]DADOS!B55</f>
        <v>Engenheiro Civil</v>
      </c>
      <c r="K48" s="244"/>
      <c r="L48" s="244"/>
      <c r="M48" s="18"/>
      <c r="N48" s="18"/>
      <c r="O48" s="31" t="s">
        <v>79</v>
      </c>
      <c r="P48" s="246"/>
      <c r="Q48" s="246"/>
      <c r="R48" s="246"/>
    </row>
    <row r="49" spans="1:18" ht="13.8" x14ac:dyDescent="0.25">
      <c r="A49" s="4" t="str">
        <f>A48</f>
        <v>Estudos e Projetos, Planos e Gerenciamento e outros correlatos</v>
      </c>
      <c r="B49" s="7" t="s">
        <v>40</v>
      </c>
      <c r="C49" s="4" t="str">
        <f t="shared" si="0"/>
        <v>Estudos e Projetos, Planos e Gerenciamento e outros correlatos-BDI PAD</v>
      </c>
      <c r="E49" s="6" t="s">
        <v>50</v>
      </c>
      <c r="F49" s="6" t="s">
        <v>50</v>
      </c>
      <c r="G49" s="6" t="s">
        <v>50</v>
      </c>
      <c r="I49" s="31" t="str">
        <f>[3]DADOS!A56</f>
        <v>CREA/CAU:</v>
      </c>
      <c r="J49" s="244">
        <v>5060435411</v>
      </c>
      <c r="K49" s="244"/>
      <c r="L49" s="244"/>
      <c r="M49" s="18"/>
      <c r="N49" s="18"/>
      <c r="O49" s="18"/>
      <c r="P49" s="18"/>
      <c r="Q49" s="18"/>
      <c r="R49" s="18"/>
    </row>
    <row r="50" spans="1:18" ht="13.2" x14ac:dyDescent="0.25">
      <c r="I50" s="31" t="str">
        <f>[3]DADOS!A57</f>
        <v>ART/RRT:</v>
      </c>
      <c r="J50" s="244"/>
      <c r="K50" s="244"/>
      <c r="L50" s="244"/>
    </row>
    <row r="51" spans="1:18" ht="13.2" x14ac:dyDescent="0.25"/>
    <row r="52" spans="1:18" ht="13.2" hidden="1" x14ac:dyDescent="0.25">
      <c r="A52" s="4" t="s">
        <v>80</v>
      </c>
    </row>
    <row r="53" spans="1:18" ht="13.2" hidden="1" x14ac:dyDescent="0.25">
      <c r="A53" s="4" t="s">
        <v>32</v>
      </c>
    </row>
    <row r="54" spans="1:18" ht="13.2" hidden="1" x14ac:dyDescent="0.25">
      <c r="A54" s="4" t="s">
        <v>39</v>
      </c>
    </row>
    <row r="55" spans="1:18" ht="13.2" hidden="1" x14ac:dyDescent="0.25">
      <c r="A55" s="4" t="s">
        <v>51</v>
      </c>
    </row>
    <row r="56" spans="1:18" ht="13.2" hidden="1" x14ac:dyDescent="0.25">
      <c r="A56" s="4" t="s">
        <v>59</v>
      </c>
    </row>
    <row r="57" spans="1:18" ht="13.2" hidden="1" x14ac:dyDescent="0.25">
      <c r="A57" s="4" t="s">
        <v>67</v>
      </c>
    </row>
    <row r="58" spans="1:18" ht="13.2" hidden="1" x14ac:dyDescent="0.25">
      <c r="A58" s="4" t="s">
        <v>81</v>
      </c>
    </row>
    <row r="59" spans="1:18" ht="13.2" hidden="1" x14ac:dyDescent="0.25">
      <c r="A59" s="4" t="s">
        <v>71</v>
      </c>
    </row>
    <row r="60" spans="1:18" ht="13.8" hidden="1" x14ac:dyDescent="0.25">
      <c r="A60" s="17"/>
      <c r="B60" s="18"/>
      <c r="C60" s="18"/>
      <c r="D60" s="18"/>
      <c r="E60" s="18"/>
      <c r="F60" s="18"/>
      <c r="G60" s="18"/>
    </row>
  </sheetData>
  <mergeCells count="55">
    <mergeCell ref="J49:L49"/>
    <mergeCell ref="J50:L50"/>
    <mergeCell ref="I46:L46"/>
    <mergeCell ref="O46:R46"/>
    <mergeCell ref="J47:L47"/>
    <mergeCell ref="P47:R47"/>
    <mergeCell ref="J48:L48"/>
    <mergeCell ref="P48:R48"/>
    <mergeCell ref="I40:R40"/>
    <mergeCell ref="I42:L42"/>
    <mergeCell ref="O42:R42"/>
    <mergeCell ref="I43:L43"/>
    <mergeCell ref="I45:L45"/>
    <mergeCell ref="O45:R45"/>
    <mergeCell ref="I37:R37"/>
    <mergeCell ref="I25:L25"/>
    <mergeCell ref="I26:L26"/>
    <mergeCell ref="I27:L27"/>
    <mergeCell ref="P27:R27"/>
    <mergeCell ref="J29:R29"/>
    <mergeCell ref="I31:R31"/>
    <mergeCell ref="L32:L33"/>
    <mergeCell ref="M32:O32"/>
    <mergeCell ref="P32:P33"/>
    <mergeCell ref="M33:O33"/>
    <mergeCell ref="I35:R35"/>
    <mergeCell ref="T16:U24"/>
    <mergeCell ref="I18:L18"/>
    <mergeCell ref="I19:L19"/>
    <mergeCell ref="I20:L20"/>
    <mergeCell ref="I21:L21"/>
    <mergeCell ref="I22:L22"/>
    <mergeCell ref="I23:L23"/>
    <mergeCell ref="I24:L24"/>
    <mergeCell ref="I14:P14"/>
    <mergeCell ref="Q14:R14"/>
    <mergeCell ref="I16:L17"/>
    <mergeCell ref="M16:M17"/>
    <mergeCell ref="N16:N17"/>
    <mergeCell ref="O16:O17"/>
    <mergeCell ref="P16:P17"/>
    <mergeCell ref="Q16:Q17"/>
    <mergeCell ref="R16:R17"/>
    <mergeCell ref="I10:P10"/>
    <mergeCell ref="Q10:R10"/>
    <mergeCell ref="I11:P11"/>
    <mergeCell ref="Q11:R11"/>
    <mergeCell ref="I13:P13"/>
    <mergeCell ref="Q13:R13"/>
    <mergeCell ref="I8:R8"/>
    <mergeCell ref="I4:J4"/>
    <mergeCell ref="K4:R4"/>
    <mergeCell ref="I5:J5"/>
    <mergeCell ref="K5:R5"/>
    <mergeCell ref="I7:R7"/>
  </mergeCells>
  <conditionalFormatting sqref="O42">
    <cfRule type="expression" dxfId="8" priority="3" stopIfTrue="1">
      <formula>$O$42=""</formula>
    </cfRule>
  </conditionalFormatting>
  <conditionalFormatting sqref="O18:O27">
    <cfRule type="expression" dxfId="7" priority="8" stopIfTrue="1">
      <formula>AND(O18&lt;&gt;"OK",O18&lt;&gt;"-",O18&lt;&gt;"")</formula>
    </cfRule>
    <cfRule type="cellIs" dxfId="6" priority="9" stopIfTrue="1" operator="equal">
      <formula>"OK"</formula>
    </cfRule>
  </conditionalFormatting>
  <conditionalFormatting sqref="I26:N26">
    <cfRule type="expression" dxfId="5" priority="7" stopIfTrue="1">
      <formula>$Q$11="Não"</formula>
    </cfRule>
  </conditionalFormatting>
  <conditionalFormatting sqref="I27:N27">
    <cfRule type="expression" dxfId="4" priority="6" stopIfTrue="1">
      <formula>$Q$11="sim"</formula>
    </cfRule>
  </conditionalFormatting>
  <conditionalFormatting sqref="P27:R27">
    <cfRule type="expression" dxfId="3" priority="5" stopIfTrue="1">
      <formula>$Q$11="sim"</formula>
    </cfRule>
  </conditionalFormatting>
  <conditionalFormatting sqref="P47:R48">
    <cfRule type="expression" dxfId="2" priority="4" stopIfTrue="1">
      <formula>P47=""</formula>
    </cfRule>
  </conditionalFormatting>
  <conditionalFormatting sqref="I29:R29">
    <cfRule type="expression" dxfId="1" priority="2" stopIfTrue="1">
      <formula>AND(NOT($V$27),NOT($V$29))</formula>
    </cfRule>
  </conditionalFormatting>
  <conditionalFormatting sqref="P18:R26">
    <cfRule type="expression" dxfId="0" priority="1" stopIfTrue="1">
      <formula>$I$11=$A$58</formula>
    </cfRule>
  </conditionalFormatting>
  <dataValidations count="7">
    <dataValidation type="list" allowBlank="1" showInputMessage="1" showErrorMessage="1" sqref="I11:P11 JE11:JL11 TA11:TH11 ACW11:ADD11 AMS11:AMZ11 AWO11:AWV11 BGK11:BGR11 BQG11:BQN11 CAC11:CAJ11 CJY11:CKF11 CTU11:CUB11 DDQ11:DDX11 DNM11:DNT11 DXI11:DXP11 EHE11:EHL11 ERA11:ERH11 FAW11:FBD11 FKS11:FKZ11 FUO11:FUV11 GEK11:GER11 GOG11:GON11 GYC11:GYJ11 HHY11:HIF11 HRU11:HSB11 IBQ11:IBX11 ILM11:ILT11 IVI11:IVP11 JFE11:JFL11 JPA11:JPH11 JYW11:JZD11 KIS11:KIZ11 KSO11:KSV11 LCK11:LCR11 LMG11:LMN11 LWC11:LWJ11 MFY11:MGF11 MPU11:MQB11 MZQ11:MZX11 NJM11:NJT11 NTI11:NTP11 ODE11:ODL11 ONA11:ONH11 OWW11:OXD11 PGS11:PGZ11 PQO11:PQV11 QAK11:QAR11 QKG11:QKN11 QUC11:QUJ11 RDY11:REF11 RNU11:ROB11 RXQ11:RXX11 SHM11:SHT11 SRI11:SRP11 TBE11:TBL11 TLA11:TLH11 TUW11:TVD11 UES11:UEZ11 UOO11:UOV11 UYK11:UYR11 VIG11:VIN11 VSC11:VSJ11 WBY11:WCF11 WLU11:WMB11 WVQ11:WVX11 I65547:P65547 JE65547:JL65547 TA65547:TH65547 ACW65547:ADD65547 AMS65547:AMZ65547 AWO65547:AWV65547 BGK65547:BGR65547 BQG65547:BQN65547 CAC65547:CAJ65547 CJY65547:CKF65547 CTU65547:CUB65547 DDQ65547:DDX65547 DNM65547:DNT65547 DXI65547:DXP65547 EHE65547:EHL65547 ERA65547:ERH65547 FAW65547:FBD65547 FKS65547:FKZ65547 FUO65547:FUV65547 GEK65547:GER65547 GOG65547:GON65547 GYC65547:GYJ65547 HHY65547:HIF65547 HRU65547:HSB65547 IBQ65547:IBX65547 ILM65547:ILT65547 IVI65547:IVP65547 JFE65547:JFL65547 JPA65547:JPH65547 JYW65547:JZD65547 KIS65547:KIZ65547 KSO65547:KSV65547 LCK65547:LCR65547 LMG65547:LMN65547 LWC65547:LWJ65547 MFY65547:MGF65547 MPU65547:MQB65547 MZQ65547:MZX65547 NJM65547:NJT65547 NTI65547:NTP65547 ODE65547:ODL65547 ONA65547:ONH65547 OWW65547:OXD65547 PGS65547:PGZ65547 PQO65547:PQV65547 QAK65547:QAR65547 QKG65547:QKN65547 QUC65547:QUJ65547 RDY65547:REF65547 RNU65547:ROB65547 RXQ65547:RXX65547 SHM65547:SHT65547 SRI65547:SRP65547 TBE65547:TBL65547 TLA65547:TLH65547 TUW65547:TVD65547 UES65547:UEZ65547 UOO65547:UOV65547 UYK65547:UYR65547 VIG65547:VIN65547 VSC65547:VSJ65547 WBY65547:WCF65547 WLU65547:WMB65547 WVQ65547:WVX65547 I131083:P131083 JE131083:JL131083 TA131083:TH131083 ACW131083:ADD131083 AMS131083:AMZ131083 AWO131083:AWV131083 BGK131083:BGR131083 BQG131083:BQN131083 CAC131083:CAJ131083 CJY131083:CKF131083 CTU131083:CUB131083 DDQ131083:DDX131083 DNM131083:DNT131083 DXI131083:DXP131083 EHE131083:EHL131083 ERA131083:ERH131083 FAW131083:FBD131083 FKS131083:FKZ131083 FUO131083:FUV131083 GEK131083:GER131083 GOG131083:GON131083 GYC131083:GYJ131083 HHY131083:HIF131083 HRU131083:HSB131083 IBQ131083:IBX131083 ILM131083:ILT131083 IVI131083:IVP131083 JFE131083:JFL131083 JPA131083:JPH131083 JYW131083:JZD131083 KIS131083:KIZ131083 KSO131083:KSV131083 LCK131083:LCR131083 LMG131083:LMN131083 LWC131083:LWJ131083 MFY131083:MGF131083 MPU131083:MQB131083 MZQ131083:MZX131083 NJM131083:NJT131083 NTI131083:NTP131083 ODE131083:ODL131083 ONA131083:ONH131083 OWW131083:OXD131083 PGS131083:PGZ131083 PQO131083:PQV131083 QAK131083:QAR131083 QKG131083:QKN131083 QUC131083:QUJ131083 RDY131083:REF131083 RNU131083:ROB131083 RXQ131083:RXX131083 SHM131083:SHT131083 SRI131083:SRP131083 TBE131083:TBL131083 TLA131083:TLH131083 TUW131083:TVD131083 UES131083:UEZ131083 UOO131083:UOV131083 UYK131083:UYR131083 VIG131083:VIN131083 VSC131083:VSJ131083 WBY131083:WCF131083 WLU131083:WMB131083 WVQ131083:WVX131083 I196619:P196619 JE196619:JL196619 TA196619:TH196619 ACW196619:ADD196619 AMS196619:AMZ196619 AWO196619:AWV196619 BGK196619:BGR196619 BQG196619:BQN196619 CAC196619:CAJ196619 CJY196619:CKF196619 CTU196619:CUB196619 DDQ196619:DDX196619 DNM196619:DNT196619 DXI196619:DXP196619 EHE196619:EHL196619 ERA196619:ERH196619 FAW196619:FBD196619 FKS196619:FKZ196619 FUO196619:FUV196619 GEK196619:GER196619 GOG196619:GON196619 GYC196619:GYJ196619 HHY196619:HIF196619 HRU196619:HSB196619 IBQ196619:IBX196619 ILM196619:ILT196619 IVI196619:IVP196619 JFE196619:JFL196619 JPA196619:JPH196619 JYW196619:JZD196619 KIS196619:KIZ196619 KSO196619:KSV196619 LCK196619:LCR196619 LMG196619:LMN196619 LWC196619:LWJ196619 MFY196619:MGF196619 MPU196619:MQB196619 MZQ196619:MZX196619 NJM196619:NJT196619 NTI196619:NTP196619 ODE196619:ODL196619 ONA196619:ONH196619 OWW196619:OXD196619 PGS196619:PGZ196619 PQO196619:PQV196619 QAK196619:QAR196619 QKG196619:QKN196619 QUC196619:QUJ196619 RDY196619:REF196619 RNU196619:ROB196619 RXQ196619:RXX196619 SHM196619:SHT196619 SRI196619:SRP196619 TBE196619:TBL196619 TLA196619:TLH196619 TUW196619:TVD196619 UES196619:UEZ196619 UOO196619:UOV196619 UYK196619:UYR196619 VIG196619:VIN196619 VSC196619:VSJ196619 WBY196619:WCF196619 WLU196619:WMB196619 WVQ196619:WVX196619 I262155:P262155 JE262155:JL262155 TA262155:TH262155 ACW262155:ADD262155 AMS262155:AMZ262155 AWO262155:AWV262155 BGK262155:BGR262155 BQG262155:BQN262155 CAC262155:CAJ262155 CJY262155:CKF262155 CTU262155:CUB262155 DDQ262155:DDX262155 DNM262155:DNT262155 DXI262155:DXP262155 EHE262155:EHL262155 ERA262155:ERH262155 FAW262155:FBD262155 FKS262155:FKZ262155 FUO262155:FUV262155 GEK262155:GER262155 GOG262155:GON262155 GYC262155:GYJ262155 HHY262155:HIF262155 HRU262155:HSB262155 IBQ262155:IBX262155 ILM262155:ILT262155 IVI262155:IVP262155 JFE262155:JFL262155 JPA262155:JPH262155 JYW262155:JZD262155 KIS262155:KIZ262155 KSO262155:KSV262155 LCK262155:LCR262155 LMG262155:LMN262155 LWC262155:LWJ262155 MFY262155:MGF262155 MPU262155:MQB262155 MZQ262155:MZX262155 NJM262155:NJT262155 NTI262155:NTP262155 ODE262155:ODL262155 ONA262155:ONH262155 OWW262155:OXD262155 PGS262155:PGZ262155 PQO262155:PQV262155 QAK262155:QAR262155 QKG262155:QKN262155 QUC262155:QUJ262155 RDY262155:REF262155 RNU262155:ROB262155 RXQ262155:RXX262155 SHM262155:SHT262155 SRI262155:SRP262155 TBE262155:TBL262155 TLA262155:TLH262155 TUW262155:TVD262155 UES262155:UEZ262155 UOO262155:UOV262155 UYK262155:UYR262155 VIG262155:VIN262155 VSC262155:VSJ262155 WBY262155:WCF262155 WLU262155:WMB262155 WVQ262155:WVX262155 I327691:P327691 JE327691:JL327691 TA327691:TH327691 ACW327691:ADD327691 AMS327691:AMZ327691 AWO327691:AWV327691 BGK327691:BGR327691 BQG327691:BQN327691 CAC327691:CAJ327691 CJY327691:CKF327691 CTU327691:CUB327691 DDQ327691:DDX327691 DNM327691:DNT327691 DXI327691:DXP327691 EHE327691:EHL327691 ERA327691:ERH327691 FAW327691:FBD327691 FKS327691:FKZ327691 FUO327691:FUV327691 GEK327691:GER327691 GOG327691:GON327691 GYC327691:GYJ327691 HHY327691:HIF327691 HRU327691:HSB327691 IBQ327691:IBX327691 ILM327691:ILT327691 IVI327691:IVP327691 JFE327691:JFL327691 JPA327691:JPH327691 JYW327691:JZD327691 KIS327691:KIZ327691 KSO327691:KSV327691 LCK327691:LCR327691 LMG327691:LMN327691 LWC327691:LWJ327691 MFY327691:MGF327691 MPU327691:MQB327691 MZQ327691:MZX327691 NJM327691:NJT327691 NTI327691:NTP327691 ODE327691:ODL327691 ONA327691:ONH327691 OWW327691:OXD327691 PGS327691:PGZ327691 PQO327691:PQV327691 QAK327691:QAR327691 QKG327691:QKN327691 QUC327691:QUJ327691 RDY327691:REF327691 RNU327691:ROB327691 RXQ327691:RXX327691 SHM327691:SHT327691 SRI327691:SRP327691 TBE327691:TBL327691 TLA327691:TLH327691 TUW327691:TVD327691 UES327691:UEZ327691 UOO327691:UOV327691 UYK327691:UYR327691 VIG327691:VIN327691 VSC327691:VSJ327691 WBY327691:WCF327691 WLU327691:WMB327691 WVQ327691:WVX327691 I393227:P393227 JE393227:JL393227 TA393227:TH393227 ACW393227:ADD393227 AMS393227:AMZ393227 AWO393227:AWV393227 BGK393227:BGR393227 BQG393227:BQN393227 CAC393227:CAJ393227 CJY393227:CKF393227 CTU393227:CUB393227 DDQ393227:DDX393227 DNM393227:DNT393227 DXI393227:DXP393227 EHE393227:EHL393227 ERA393227:ERH393227 FAW393227:FBD393227 FKS393227:FKZ393227 FUO393227:FUV393227 GEK393227:GER393227 GOG393227:GON393227 GYC393227:GYJ393227 HHY393227:HIF393227 HRU393227:HSB393227 IBQ393227:IBX393227 ILM393227:ILT393227 IVI393227:IVP393227 JFE393227:JFL393227 JPA393227:JPH393227 JYW393227:JZD393227 KIS393227:KIZ393227 KSO393227:KSV393227 LCK393227:LCR393227 LMG393227:LMN393227 LWC393227:LWJ393227 MFY393227:MGF393227 MPU393227:MQB393227 MZQ393227:MZX393227 NJM393227:NJT393227 NTI393227:NTP393227 ODE393227:ODL393227 ONA393227:ONH393227 OWW393227:OXD393227 PGS393227:PGZ393227 PQO393227:PQV393227 QAK393227:QAR393227 QKG393227:QKN393227 QUC393227:QUJ393227 RDY393227:REF393227 RNU393227:ROB393227 RXQ393227:RXX393227 SHM393227:SHT393227 SRI393227:SRP393227 TBE393227:TBL393227 TLA393227:TLH393227 TUW393227:TVD393227 UES393227:UEZ393227 UOO393227:UOV393227 UYK393227:UYR393227 VIG393227:VIN393227 VSC393227:VSJ393227 WBY393227:WCF393227 WLU393227:WMB393227 WVQ393227:WVX393227 I458763:P458763 JE458763:JL458763 TA458763:TH458763 ACW458763:ADD458763 AMS458763:AMZ458763 AWO458763:AWV458763 BGK458763:BGR458763 BQG458763:BQN458763 CAC458763:CAJ458763 CJY458763:CKF458763 CTU458763:CUB458763 DDQ458763:DDX458763 DNM458763:DNT458763 DXI458763:DXP458763 EHE458763:EHL458763 ERA458763:ERH458763 FAW458763:FBD458763 FKS458763:FKZ458763 FUO458763:FUV458763 GEK458763:GER458763 GOG458763:GON458763 GYC458763:GYJ458763 HHY458763:HIF458763 HRU458763:HSB458763 IBQ458763:IBX458763 ILM458763:ILT458763 IVI458763:IVP458763 JFE458763:JFL458763 JPA458763:JPH458763 JYW458763:JZD458763 KIS458763:KIZ458763 KSO458763:KSV458763 LCK458763:LCR458763 LMG458763:LMN458763 LWC458763:LWJ458763 MFY458763:MGF458763 MPU458763:MQB458763 MZQ458763:MZX458763 NJM458763:NJT458763 NTI458763:NTP458763 ODE458763:ODL458763 ONA458763:ONH458763 OWW458763:OXD458763 PGS458763:PGZ458763 PQO458763:PQV458763 QAK458763:QAR458763 QKG458763:QKN458763 QUC458763:QUJ458763 RDY458763:REF458763 RNU458763:ROB458763 RXQ458763:RXX458763 SHM458763:SHT458763 SRI458763:SRP458763 TBE458763:TBL458763 TLA458763:TLH458763 TUW458763:TVD458763 UES458763:UEZ458763 UOO458763:UOV458763 UYK458763:UYR458763 VIG458763:VIN458763 VSC458763:VSJ458763 WBY458763:WCF458763 WLU458763:WMB458763 WVQ458763:WVX458763 I524299:P524299 JE524299:JL524299 TA524299:TH524299 ACW524299:ADD524299 AMS524299:AMZ524299 AWO524299:AWV524299 BGK524299:BGR524299 BQG524299:BQN524299 CAC524299:CAJ524299 CJY524299:CKF524299 CTU524299:CUB524299 DDQ524299:DDX524299 DNM524299:DNT524299 DXI524299:DXP524299 EHE524299:EHL524299 ERA524299:ERH524299 FAW524299:FBD524299 FKS524299:FKZ524299 FUO524299:FUV524299 GEK524299:GER524299 GOG524299:GON524299 GYC524299:GYJ524299 HHY524299:HIF524299 HRU524299:HSB524299 IBQ524299:IBX524299 ILM524299:ILT524299 IVI524299:IVP524299 JFE524299:JFL524299 JPA524299:JPH524299 JYW524299:JZD524299 KIS524299:KIZ524299 KSO524299:KSV524299 LCK524299:LCR524299 LMG524299:LMN524299 LWC524299:LWJ524299 MFY524299:MGF524299 MPU524299:MQB524299 MZQ524299:MZX524299 NJM524299:NJT524299 NTI524299:NTP524299 ODE524299:ODL524299 ONA524299:ONH524299 OWW524299:OXD524299 PGS524299:PGZ524299 PQO524299:PQV524299 QAK524299:QAR524299 QKG524299:QKN524299 QUC524299:QUJ524299 RDY524299:REF524299 RNU524299:ROB524299 RXQ524299:RXX524299 SHM524299:SHT524299 SRI524299:SRP524299 TBE524299:TBL524299 TLA524299:TLH524299 TUW524299:TVD524299 UES524299:UEZ524299 UOO524299:UOV524299 UYK524299:UYR524299 VIG524299:VIN524299 VSC524299:VSJ524299 WBY524299:WCF524299 WLU524299:WMB524299 WVQ524299:WVX524299 I589835:P589835 JE589835:JL589835 TA589835:TH589835 ACW589835:ADD589835 AMS589835:AMZ589835 AWO589835:AWV589835 BGK589835:BGR589835 BQG589835:BQN589835 CAC589835:CAJ589835 CJY589835:CKF589835 CTU589835:CUB589835 DDQ589835:DDX589835 DNM589835:DNT589835 DXI589835:DXP589835 EHE589835:EHL589835 ERA589835:ERH589835 FAW589835:FBD589835 FKS589835:FKZ589835 FUO589835:FUV589835 GEK589835:GER589835 GOG589835:GON589835 GYC589835:GYJ589835 HHY589835:HIF589835 HRU589835:HSB589835 IBQ589835:IBX589835 ILM589835:ILT589835 IVI589835:IVP589835 JFE589835:JFL589835 JPA589835:JPH589835 JYW589835:JZD589835 KIS589835:KIZ589835 KSO589835:KSV589835 LCK589835:LCR589835 LMG589835:LMN589835 LWC589835:LWJ589835 MFY589835:MGF589835 MPU589835:MQB589835 MZQ589835:MZX589835 NJM589835:NJT589835 NTI589835:NTP589835 ODE589835:ODL589835 ONA589835:ONH589835 OWW589835:OXD589835 PGS589835:PGZ589835 PQO589835:PQV589835 QAK589835:QAR589835 QKG589835:QKN589835 QUC589835:QUJ589835 RDY589835:REF589835 RNU589835:ROB589835 RXQ589835:RXX589835 SHM589835:SHT589835 SRI589835:SRP589835 TBE589835:TBL589835 TLA589835:TLH589835 TUW589835:TVD589835 UES589835:UEZ589835 UOO589835:UOV589835 UYK589835:UYR589835 VIG589835:VIN589835 VSC589835:VSJ589835 WBY589835:WCF589835 WLU589835:WMB589835 WVQ589835:WVX589835 I655371:P655371 JE655371:JL655371 TA655371:TH655371 ACW655371:ADD655371 AMS655371:AMZ655371 AWO655371:AWV655371 BGK655371:BGR655371 BQG655371:BQN655371 CAC655371:CAJ655371 CJY655371:CKF655371 CTU655371:CUB655371 DDQ655371:DDX655371 DNM655371:DNT655371 DXI655371:DXP655371 EHE655371:EHL655371 ERA655371:ERH655371 FAW655371:FBD655371 FKS655371:FKZ655371 FUO655371:FUV655371 GEK655371:GER655371 GOG655371:GON655371 GYC655371:GYJ655371 HHY655371:HIF655371 HRU655371:HSB655371 IBQ655371:IBX655371 ILM655371:ILT655371 IVI655371:IVP655371 JFE655371:JFL655371 JPA655371:JPH655371 JYW655371:JZD655371 KIS655371:KIZ655371 KSO655371:KSV655371 LCK655371:LCR655371 LMG655371:LMN655371 LWC655371:LWJ655371 MFY655371:MGF655371 MPU655371:MQB655371 MZQ655371:MZX655371 NJM655371:NJT655371 NTI655371:NTP655371 ODE655371:ODL655371 ONA655371:ONH655371 OWW655371:OXD655371 PGS655371:PGZ655371 PQO655371:PQV655371 QAK655371:QAR655371 QKG655371:QKN655371 QUC655371:QUJ655371 RDY655371:REF655371 RNU655371:ROB655371 RXQ655371:RXX655371 SHM655371:SHT655371 SRI655371:SRP655371 TBE655371:TBL655371 TLA655371:TLH655371 TUW655371:TVD655371 UES655371:UEZ655371 UOO655371:UOV655371 UYK655371:UYR655371 VIG655371:VIN655371 VSC655371:VSJ655371 WBY655371:WCF655371 WLU655371:WMB655371 WVQ655371:WVX655371 I720907:P720907 JE720907:JL720907 TA720907:TH720907 ACW720907:ADD720907 AMS720907:AMZ720907 AWO720907:AWV720907 BGK720907:BGR720907 BQG720907:BQN720907 CAC720907:CAJ720907 CJY720907:CKF720907 CTU720907:CUB720907 DDQ720907:DDX720907 DNM720907:DNT720907 DXI720907:DXP720907 EHE720907:EHL720907 ERA720907:ERH720907 FAW720907:FBD720907 FKS720907:FKZ720907 FUO720907:FUV720907 GEK720907:GER720907 GOG720907:GON720907 GYC720907:GYJ720907 HHY720907:HIF720907 HRU720907:HSB720907 IBQ720907:IBX720907 ILM720907:ILT720907 IVI720907:IVP720907 JFE720907:JFL720907 JPA720907:JPH720907 JYW720907:JZD720907 KIS720907:KIZ720907 KSO720907:KSV720907 LCK720907:LCR720907 LMG720907:LMN720907 LWC720907:LWJ720907 MFY720907:MGF720907 MPU720907:MQB720907 MZQ720907:MZX720907 NJM720907:NJT720907 NTI720907:NTP720907 ODE720907:ODL720907 ONA720907:ONH720907 OWW720907:OXD720907 PGS720907:PGZ720907 PQO720907:PQV720907 QAK720907:QAR720907 QKG720907:QKN720907 QUC720907:QUJ720907 RDY720907:REF720907 RNU720907:ROB720907 RXQ720907:RXX720907 SHM720907:SHT720907 SRI720907:SRP720907 TBE720907:TBL720907 TLA720907:TLH720907 TUW720907:TVD720907 UES720907:UEZ720907 UOO720907:UOV720907 UYK720907:UYR720907 VIG720907:VIN720907 VSC720907:VSJ720907 WBY720907:WCF720907 WLU720907:WMB720907 WVQ720907:WVX720907 I786443:P786443 JE786443:JL786443 TA786443:TH786443 ACW786443:ADD786443 AMS786443:AMZ786443 AWO786443:AWV786443 BGK786443:BGR786443 BQG786443:BQN786443 CAC786443:CAJ786443 CJY786443:CKF786443 CTU786443:CUB786443 DDQ786443:DDX786443 DNM786443:DNT786443 DXI786443:DXP786443 EHE786443:EHL786443 ERA786443:ERH786443 FAW786443:FBD786443 FKS786443:FKZ786443 FUO786443:FUV786443 GEK786443:GER786443 GOG786443:GON786443 GYC786443:GYJ786443 HHY786443:HIF786443 HRU786443:HSB786443 IBQ786443:IBX786443 ILM786443:ILT786443 IVI786443:IVP786443 JFE786443:JFL786443 JPA786443:JPH786443 JYW786443:JZD786443 KIS786443:KIZ786443 KSO786443:KSV786443 LCK786443:LCR786443 LMG786443:LMN786443 LWC786443:LWJ786443 MFY786443:MGF786443 MPU786443:MQB786443 MZQ786443:MZX786443 NJM786443:NJT786443 NTI786443:NTP786443 ODE786443:ODL786443 ONA786443:ONH786443 OWW786443:OXD786443 PGS786443:PGZ786443 PQO786443:PQV786443 QAK786443:QAR786443 QKG786443:QKN786443 QUC786443:QUJ786443 RDY786443:REF786443 RNU786443:ROB786443 RXQ786443:RXX786443 SHM786443:SHT786443 SRI786443:SRP786443 TBE786443:TBL786443 TLA786443:TLH786443 TUW786443:TVD786443 UES786443:UEZ786443 UOO786443:UOV786443 UYK786443:UYR786443 VIG786443:VIN786443 VSC786443:VSJ786443 WBY786443:WCF786443 WLU786443:WMB786443 WVQ786443:WVX786443 I851979:P851979 JE851979:JL851979 TA851979:TH851979 ACW851979:ADD851979 AMS851979:AMZ851979 AWO851979:AWV851979 BGK851979:BGR851979 BQG851979:BQN851979 CAC851979:CAJ851979 CJY851979:CKF851979 CTU851979:CUB851979 DDQ851979:DDX851979 DNM851979:DNT851979 DXI851979:DXP851979 EHE851979:EHL851979 ERA851979:ERH851979 FAW851979:FBD851979 FKS851979:FKZ851979 FUO851979:FUV851979 GEK851979:GER851979 GOG851979:GON851979 GYC851979:GYJ851979 HHY851979:HIF851979 HRU851979:HSB851979 IBQ851979:IBX851979 ILM851979:ILT851979 IVI851979:IVP851979 JFE851979:JFL851979 JPA851979:JPH851979 JYW851979:JZD851979 KIS851979:KIZ851979 KSO851979:KSV851979 LCK851979:LCR851979 LMG851979:LMN851979 LWC851979:LWJ851979 MFY851979:MGF851979 MPU851979:MQB851979 MZQ851979:MZX851979 NJM851979:NJT851979 NTI851979:NTP851979 ODE851979:ODL851979 ONA851979:ONH851979 OWW851979:OXD851979 PGS851979:PGZ851979 PQO851979:PQV851979 QAK851979:QAR851979 QKG851979:QKN851979 QUC851979:QUJ851979 RDY851979:REF851979 RNU851979:ROB851979 RXQ851979:RXX851979 SHM851979:SHT851979 SRI851979:SRP851979 TBE851979:TBL851979 TLA851979:TLH851979 TUW851979:TVD851979 UES851979:UEZ851979 UOO851979:UOV851979 UYK851979:UYR851979 VIG851979:VIN851979 VSC851979:VSJ851979 WBY851979:WCF851979 WLU851979:WMB851979 WVQ851979:WVX851979 I917515:P917515 JE917515:JL917515 TA917515:TH917515 ACW917515:ADD917515 AMS917515:AMZ917515 AWO917515:AWV917515 BGK917515:BGR917515 BQG917515:BQN917515 CAC917515:CAJ917515 CJY917515:CKF917515 CTU917515:CUB917515 DDQ917515:DDX917515 DNM917515:DNT917515 DXI917515:DXP917515 EHE917515:EHL917515 ERA917515:ERH917515 FAW917515:FBD917515 FKS917515:FKZ917515 FUO917515:FUV917515 GEK917515:GER917515 GOG917515:GON917515 GYC917515:GYJ917515 HHY917515:HIF917515 HRU917515:HSB917515 IBQ917515:IBX917515 ILM917515:ILT917515 IVI917515:IVP917515 JFE917515:JFL917515 JPA917515:JPH917515 JYW917515:JZD917515 KIS917515:KIZ917515 KSO917515:KSV917515 LCK917515:LCR917515 LMG917515:LMN917515 LWC917515:LWJ917515 MFY917515:MGF917515 MPU917515:MQB917515 MZQ917515:MZX917515 NJM917515:NJT917515 NTI917515:NTP917515 ODE917515:ODL917515 ONA917515:ONH917515 OWW917515:OXD917515 PGS917515:PGZ917515 PQO917515:PQV917515 QAK917515:QAR917515 QKG917515:QKN917515 QUC917515:QUJ917515 RDY917515:REF917515 RNU917515:ROB917515 RXQ917515:RXX917515 SHM917515:SHT917515 SRI917515:SRP917515 TBE917515:TBL917515 TLA917515:TLH917515 TUW917515:TVD917515 UES917515:UEZ917515 UOO917515:UOV917515 UYK917515:UYR917515 VIG917515:VIN917515 VSC917515:VSJ917515 WBY917515:WCF917515 WLU917515:WMB917515 WVQ917515:WVX917515 I983051:P983051 JE983051:JL983051 TA983051:TH983051 ACW983051:ADD983051 AMS983051:AMZ983051 AWO983051:AWV983051 BGK983051:BGR983051 BQG983051:BQN983051 CAC983051:CAJ983051 CJY983051:CKF983051 CTU983051:CUB983051 DDQ983051:DDX983051 DNM983051:DNT983051 DXI983051:DXP983051 EHE983051:EHL983051 ERA983051:ERH983051 FAW983051:FBD983051 FKS983051:FKZ983051 FUO983051:FUV983051 GEK983051:GER983051 GOG983051:GON983051 GYC983051:GYJ983051 HHY983051:HIF983051 HRU983051:HSB983051 IBQ983051:IBX983051 ILM983051:ILT983051 IVI983051:IVP983051 JFE983051:JFL983051 JPA983051:JPH983051 JYW983051:JZD983051 KIS983051:KIZ983051 KSO983051:KSV983051 LCK983051:LCR983051 LMG983051:LMN983051 LWC983051:LWJ983051 MFY983051:MGF983051 MPU983051:MQB983051 MZQ983051:MZX983051 NJM983051:NJT983051 NTI983051:NTP983051 ODE983051:ODL983051 ONA983051:ONH983051 OWW983051:OXD983051 PGS983051:PGZ983051 PQO983051:PQV983051 QAK983051:QAR983051 QKG983051:QKN983051 QUC983051:QUJ983051 RDY983051:REF983051 RNU983051:ROB983051 RXQ983051:RXX983051 SHM983051:SHT983051 SRI983051:SRP983051 TBE983051:TBL983051 TLA983051:TLH983051 TUW983051:TVD983051 UES983051:UEZ983051 UOO983051:UOV983051 UYK983051:UYR983051 VIG983051:VIN983051 VSC983051:VSJ983051 WBY983051:WCF983051 WLU983051:WMB983051 WVQ983051:WVX983051">
      <formula1>$A$52:$A$59</formula1>
    </dataValidation>
    <dataValidation operator="greaterThanOrEqual" allowBlank="1" showInputMessage="1" showErrorMessage="1" errorTitle="Erro de valores" error="Digite um valor igual a 0% ou 2%." sqref="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dataValidation type="decimal" allowBlank="1" showInputMessage="1" showErrorMessage="1" errorTitle="Erro de valores" error="Digite um valor maior do que 0." sqref="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formula1>0</formula1>
      <formula2>1</formula2>
    </dataValidation>
    <dataValidation type="decimal" allowBlank="1" showInputMessage="1" showErrorMessage="1" errorTitle="Valor não permitido" error="Digite um percentual entre 0% e 100%." promptTitle="Valores admissíveis:" prompt="Insira valores entre 0 e 100%." sqref="Q13:R13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Q65549:R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Q131085:R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Q196621:R196621 JM196621:JN196621 TI196621:TJ196621 ADE196621:ADF196621 ANA196621:ANB196621 AWW196621:AWX196621 BGS196621:BGT196621 BQO196621:BQP196621 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Q262157:R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Q327693:R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Q393229:R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Q458765:R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SRQ458765:SRR458765 TBM458765:TBN458765 TLI458765:TLJ458765 TVE458765:TVF458765 UFA458765:UFB458765 UOW458765:UOX458765 UYS458765:UYT458765 VIO458765:VIP458765 VSK458765:VSL458765 WCG458765:WCH458765 WMC458765:WMD458765 WVY458765:WVZ458765 Q524301:R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Q589837:R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Q655373:R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VSK655373:VSL655373 WCG655373:WCH655373 WMC655373:WMD655373 WVY655373:WVZ655373 Q720909:R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Q786445:R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Q851981:R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Q917517:R917517 JM917517:JN917517 TI917517:TJ917517 ADE917517:ADF917517 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Q983053:R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formula1>0</formula1>
    </dataValidation>
    <dataValidation type="decimal" allowBlank="1" showInputMessage="1" showErrorMessage="1" errorTitle="Erro de valores" error="Digite um valor entre 0% e 100%" sqref="WVV983058:WVV983063 JJ18:JJ23 TF18:TF23 ADB18:ADB23 AMX18:AMX23 AWT18:AWT23 BGP18:BGP23 BQL18:BQL23 CAH18:CAH23 CKD18:CKD23 CTZ18:CTZ23 DDV18:DDV23 DNR18:DNR23 DXN18:DXN23 EHJ18:EHJ23 ERF18:ERF23 FBB18:FBB23 FKX18:FKX23 FUT18:FUT23 GEP18:GEP23 GOL18:GOL23 GYH18:GYH23 HID18:HID23 HRZ18:HRZ23 IBV18:IBV23 ILR18:ILR23 IVN18:IVN23 JFJ18:JFJ23 JPF18:JPF23 JZB18:JZB23 KIX18:KIX23 KST18:KST23 LCP18:LCP23 LML18:LML23 LWH18:LWH23 MGD18:MGD23 MPZ18:MPZ23 MZV18:MZV23 NJR18:NJR23 NTN18:NTN23 ODJ18:ODJ23 ONF18:ONF23 OXB18:OXB23 PGX18:PGX23 PQT18:PQT23 QAP18:QAP23 QKL18:QKL23 QUH18:QUH23 RED18:RED23 RNZ18:RNZ23 RXV18:RXV23 SHR18:SHR23 SRN18:SRN23 TBJ18:TBJ23 TLF18:TLF23 TVB18:TVB23 UEX18:UEX23 UOT18:UOT23 UYP18:UYP23 VIL18:VIL23 VSH18:VSH23 WCD18:WCD23 WLZ18:WLZ23 WVV18:WVV23 N65554:N65559 JJ65554:JJ65559 TF65554:TF65559 ADB65554:ADB65559 AMX65554:AMX65559 AWT65554:AWT65559 BGP65554:BGP65559 BQL65554:BQL65559 CAH65554:CAH65559 CKD65554:CKD65559 CTZ65554:CTZ65559 DDV65554:DDV65559 DNR65554:DNR65559 DXN65554:DXN65559 EHJ65554:EHJ65559 ERF65554:ERF65559 FBB65554:FBB65559 FKX65554:FKX65559 FUT65554:FUT65559 GEP65554:GEP65559 GOL65554:GOL65559 GYH65554:GYH65559 HID65554:HID65559 HRZ65554:HRZ65559 IBV65554:IBV65559 ILR65554:ILR65559 IVN65554:IVN65559 JFJ65554:JFJ65559 JPF65554:JPF65559 JZB65554:JZB65559 KIX65554:KIX65559 KST65554:KST65559 LCP65554:LCP65559 LML65554:LML65559 LWH65554:LWH65559 MGD65554:MGD65559 MPZ65554:MPZ65559 MZV65554:MZV65559 NJR65554:NJR65559 NTN65554:NTN65559 ODJ65554:ODJ65559 ONF65554:ONF65559 OXB65554:OXB65559 PGX65554:PGX65559 PQT65554:PQT65559 QAP65554:QAP65559 QKL65554:QKL65559 QUH65554:QUH65559 RED65554:RED65559 RNZ65554:RNZ65559 RXV65554:RXV65559 SHR65554:SHR65559 SRN65554:SRN65559 TBJ65554:TBJ65559 TLF65554:TLF65559 TVB65554:TVB65559 UEX65554:UEX65559 UOT65554:UOT65559 UYP65554:UYP65559 VIL65554:VIL65559 VSH65554:VSH65559 WCD65554:WCD65559 WLZ65554:WLZ65559 WVV65554:WVV65559 N131090:N131095 JJ131090:JJ131095 TF131090:TF131095 ADB131090:ADB131095 AMX131090:AMX131095 AWT131090:AWT131095 BGP131090:BGP131095 BQL131090:BQL131095 CAH131090:CAH131095 CKD131090:CKD131095 CTZ131090:CTZ131095 DDV131090:DDV131095 DNR131090:DNR131095 DXN131090:DXN131095 EHJ131090:EHJ131095 ERF131090:ERF131095 FBB131090:FBB131095 FKX131090:FKX131095 FUT131090:FUT131095 GEP131090:GEP131095 GOL131090:GOL131095 GYH131090:GYH131095 HID131090:HID131095 HRZ131090:HRZ131095 IBV131090:IBV131095 ILR131090:ILR131095 IVN131090:IVN131095 JFJ131090:JFJ131095 JPF131090:JPF131095 JZB131090:JZB131095 KIX131090:KIX131095 KST131090:KST131095 LCP131090:LCP131095 LML131090:LML131095 LWH131090:LWH131095 MGD131090:MGD131095 MPZ131090:MPZ131095 MZV131090:MZV131095 NJR131090:NJR131095 NTN131090:NTN131095 ODJ131090:ODJ131095 ONF131090:ONF131095 OXB131090:OXB131095 PGX131090:PGX131095 PQT131090:PQT131095 QAP131090:QAP131095 QKL131090:QKL131095 QUH131090:QUH131095 RED131090:RED131095 RNZ131090:RNZ131095 RXV131090:RXV131095 SHR131090:SHR131095 SRN131090:SRN131095 TBJ131090:TBJ131095 TLF131090:TLF131095 TVB131090:TVB131095 UEX131090:UEX131095 UOT131090:UOT131095 UYP131090:UYP131095 VIL131090:VIL131095 VSH131090:VSH131095 WCD131090:WCD131095 WLZ131090:WLZ131095 WVV131090:WVV131095 N196626:N196631 JJ196626:JJ196631 TF196626:TF196631 ADB196626:ADB196631 AMX196626:AMX196631 AWT196626:AWT196631 BGP196626:BGP196631 BQL196626:BQL196631 CAH196626:CAH196631 CKD196626:CKD196631 CTZ196626:CTZ196631 DDV196626:DDV196631 DNR196626:DNR196631 DXN196626:DXN196631 EHJ196626:EHJ196631 ERF196626:ERF196631 FBB196626:FBB196631 FKX196626:FKX196631 FUT196626:FUT196631 GEP196626:GEP196631 GOL196626:GOL196631 GYH196626:GYH196631 HID196626:HID196631 HRZ196626:HRZ196631 IBV196626:IBV196631 ILR196626:ILR196631 IVN196626:IVN196631 JFJ196626:JFJ196631 JPF196626:JPF196631 JZB196626:JZB196631 KIX196626:KIX196631 KST196626:KST196631 LCP196626:LCP196631 LML196626:LML196631 LWH196626:LWH196631 MGD196626:MGD196631 MPZ196626:MPZ196631 MZV196626:MZV196631 NJR196626:NJR196631 NTN196626:NTN196631 ODJ196626:ODJ196631 ONF196626:ONF196631 OXB196626:OXB196631 PGX196626:PGX196631 PQT196626:PQT196631 QAP196626:QAP196631 QKL196626:QKL196631 QUH196626:QUH196631 RED196626:RED196631 RNZ196626:RNZ196631 RXV196626:RXV196631 SHR196626:SHR196631 SRN196626:SRN196631 TBJ196626:TBJ196631 TLF196626:TLF196631 TVB196626:TVB196631 UEX196626:UEX196631 UOT196626:UOT196631 UYP196626:UYP196631 VIL196626:VIL196631 VSH196626:VSH196631 WCD196626:WCD196631 WLZ196626:WLZ196631 WVV196626:WVV196631 N262162:N262167 JJ262162:JJ262167 TF262162:TF262167 ADB262162:ADB262167 AMX262162:AMX262167 AWT262162:AWT262167 BGP262162:BGP262167 BQL262162:BQL262167 CAH262162:CAH262167 CKD262162:CKD262167 CTZ262162:CTZ262167 DDV262162:DDV262167 DNR262162:DNR262167 DXN262162:DXN262167 EHJ262162:EHJ262167 ERF262162:ERF262167 FBB262162:FBB262167 FKX262162:FKX262167 FUT262162:FUT262167 GEP262162:GEP262167 GOL262162:GOL262167 GYH262162:GYH262167 HID262162:HID262167 HRZ262162:HRZ262167 IBV262162:IBV262167 ILR262162:ILR262167 IVN262162:IVN262167 JFJ262162:JFJ262167 JPF262162:JPF262167 JZB262162:JZB262167 KIX262162:KIX262167 KST262162:KST262167 LCP262162:LCP262167 LML262162:LML262167 LWH262162:LWH262167 MGD262162:MGD262167 MPZ262162:MPZ262167 MZV262162:MZV262167 NJR262162:NJR262167 NTN262162:NTN262167 ODJ262162:ODJ262167 ONF262162:ONF262167 OXB262162:OXB262167 PGX262162:PGX262167 PQT262162:PQT262167 QAP262162:QAP262167 QKL262162:QKL262167 QUH262162:QUH262167 RED262162:RED262167 RNZ262162:RNZ262167 RXV262162:RXV262167 SHR262162:SHR262167 SRN262162:SRN262167 TBJ262162:TBJ262167 TLF262162:TLF262167 TVB262162:TVB262167 UEX262162:UEX262167 UOT262162:UOT262167 UYP262162:UYP262167 VIL262162:VIL262167 VSH262162:VSH262167 WCD262162:WCD262167 WLZ262162:WLZ262167 WVV262162:WVV262167 N327698:N327703 JJ327698:JJ327703 TF327698:TF327703 ADB327698:ADB327703 AMX327698:AMX327703 AWT327698:AWT327703 BGP327698:BGP327703 BQL327698:BQL327703 CAH327698:CAH327703 CKD327698:CKD327703 CTZ327698:CTZ327703 DDV327698:DDV327703 DNR327698:DNR327703 DXN327698:DXN327703 EHJ327698:EHJ327703 ERF327698:ERF327703 FBB327698:FBB327703 FKX327698:FKX327703 FUT327698:FUT327703 GEP327698:GEP327703 GOL327698:GOL327703 GYH327698:GYH327703 HID327698:HID327703 HRZ327698:HRZ327703 IBV327698:IBV327703 ILR327698:ILR327703 IVN327698:IVN327703 JFJ327698:JFJ327703 JPF327698:JPF327703 JZB327698:JZB327703 KIX327698:KIX327703 KST327698:KST327703 LCP327698:LCP327703 LML327698:LML327703 LWH327698:LWH327703 MGD327698:MGD327703 MPZ327698:MPZ327703 MZV327698:MZV327703 NJR327698:NJR327703 NTN327698:NTN327703 ODJ327698:ODJ327703 ONF327698:ONF327703 OXB327698:OXB327703 PGX327698:PGX327703 PQT327698:PQT327703 QAP327698:QAP327703 QKL327698:QKL327703 QUH327698:QUH327703 RED327698:RED327703 RNZ327698:RNZ327703 RXV327698:RXV327703 SHR327698:SHR327703 SRN327698:SRN327703 TBJ327698:TBJ327703 TLF327698:TLF327703 TVB327698:TVB327703 UEX327698:UEX327703 UOT327698:UOT327703 UYP327698:UYP327703 VIL327698:VIL327703 VSH327698:VSH327703 WCD327698:WCD327703 WLZ327698:WLZ327703 WVV327698:WVV327703 N393234:N393239 JJ393234:JJ393239 TF393234:TF393239 ADB393234:ADB393239 AMX393234:AMX393239 AWT393234:AWT393239 BGP393234:BGP393239 BQL393234:BQL393239 CAH393234:CAH393239 CKD393234:CKD393239 CTZ393234:CTZ393239 DDV393234:DDV393239 DNR393234:DNR393239 DXN393234:DXN393239 EHJ393234:EHJ393239 ERF393234:ERF393239 FBB393234:FBB393239 FKX393234:FKX393239 FUT393234:FUT393239 GEP393234:GEP393239 GOL393234:GOL393239 GYH393234:GYH393239 HID393234:HID393239 HRZ393234:HRZ393239 IBV393234:IBV393239 ILR393234:ILR393239 IVN393234:IVN393239 JFJ393234:JFJ393239 JPF393234:JPF393239 JZB393234:JZB393239 KIX393234:KIX393239 KST393234:KST393239 LCP393234:LCP393239 LML393234:LML393239 LWH393234:LWH393239 MGD393234:MGD393239 MPZ393234:MPZ393239 MZV393234:MZV393239 NJR393234:NJR393239 NTN393234:NTN393239 ODJ393234:ODJ393239 ONF393234:ONF393239 OXB393234:OXB393239 PGX393234:PGX393239 PQT393234:PQT393239 QAP393234:QAP393239 QKL393234:QKL393239 QUH393234:QUH393239 RED393234:RED393239 RNZ393234:RNZ393239 RXV393234:RXV393239 SHR393234:SHR393239 SRN393234:SRN393239 TBJ393234:TBJ393239 TLF393234:TLF393239 TVB393234:TVB393239 UEX393234:UEX393239 UOT393234:UOT393239 UYP393234:UYP393239 VIL393234:VIL393239 VSH393234:VSH393239 WCD393234:WCD393239 WLZ393234:WLZ393239 WVV393234:WVV393239 N458770:N458775 JJ458770:JJ458775 TF458770:TF458775 ADB458770:ADB458775 AMX458770:AMX458775 AWT458770:AWT458775 BGP458770:BGP458775 BQL458770:BQL458775 CAH458770:CAH458775 CKD458770:CKD458775 CTZ458770:CTZ458775 DDV458770:DDV458775 DNR458770:DNR458775 DXN458770:DXN458775 EHJ458770:EHJ458775 ERF458770:ERF458775 FBB458770:FBB458775 FKX458770:FKX458775 FUT458770:FUT458775 GEP458770:GEP458775 GOL458770:GOL458775 GYH458770:GYH458775 HID458770:HID458775 HRZ458770:HRZ458775 IBV458770:IBV458775 ILR458770:ILR458775 IVN458770:IVN458775 JFJ458770:JFJ458775 JPF458770:JPF458775 JZB458770:JZB458775 KIX458770:KIX458775 KST458770:KST458775 LCP458770:LCP458775 LML458770:LML458775 LWH458770:LWH458775 MGD458770:MGD458775 MPZ458770:MPZ458775 MZV458770:MZV458775 NJR458770:NJR458775 NTN458770:NTN458775 ODJ458770:ODJ458775 ONF458770:ONF458775 OXB458770:OXB458775 PGX458770:PGX458775 PQT458770:PQT458775 QAP458770:QAP458775 QKL458770:QKL458775 QUH458770:QUH458775 RED458770:RED458775 RNZ458770:RNZ458775 RXV458770:RXV458775 SHR458770:SHR458775 SRN458770:SRN458775 TBJ458770:TBJ458775 TLF458770:TLF458775 TVB458770:TVB458775 UEX458770:UEX458775 UOT458770:UOT458775 UYP458770:UYP458775 VIL458770:VIL458775 VSH458770:VSH458775 WCD458770:WCD458775 WLZ458770:WLZ458775 WVV458770:WVV458775 N524306:N524311 JJ524306:JJ524311 TF524306:TF524311 ADB524306:ADB524311 AMX524306:AMX524311 AWT524306:AWT524311 BGP524306:BGP524311 BQL524306:BQL524311 CAH524306:CAH524311 CKD524306:CKD524311 CTZ524306:CTZ524311 DDV524306:DDV524311 DNR524306:DNR524311 DXN524306:DXN524311 EHJ524306:EHJ524311 ERF524306:ERF524311 FBB524306:FBB524311 FKX524306:FKX524311 FUT524306:FUT524311 GEP524306:GEP524311 GOL524306:GOL524311 GYH524306:GYH524311 HID524306:HID524311 HRZ524306:HRZ524311 IBV524306:IBV524311 ILR524306:ILR524311 IVN524306:IVN524311 JFJ524306:JFJ524311 JPF524306:JPF524311 JZB524306:JZB524311 KIX524306:KIX524311 KST524306:KST524311 LCP524306:LCP524311 LML524306:LML524311 LWH524306:LWH524311 MGD524306:MGD524311 MPZ524306:MPZ524311 MZV524306:MZV524311 NJR524306:NJR524311 NTN524306:NTN524311 ODJ524306:ODJ524311 ONF524306:ONF524311 OXB524306:OXB524311 PGX524306:PGX524311 PQT524306:PQT524311 QAP524306:QAP524311 QKL524306:QKL524311 QUH524306:QUH524311 RED524306:RED524311 RNZ524306:RNZ524311 RXV524306:RXV524311 SHR524306:SHR524311 SRN524306:SRN524311 TBJ524306:TBJ524311 TLF524306:TLF524311 TVB524306:TVB524311 UEX524306:UEX524311 UOT524306:UOT524311 UYP524306:UYP524311 VIL524306:VIL524311 VSH524306:VSH524311 WCD524306:WCD524311 WLZ524306:WLZ524311 WVV524306:WVV524311 N589842:N589847 JJ589842:JJ589847 TF589842:TF589847 ADB589842:ADB589847 AMX589842:AMX589847 AWT589842:AWT589847 BGP589842:BGP589847 BQL589842:BQL589847 CAH589842:CAH589847 CKD589842:CKD589847 CTZ589842:CTZ589847 DDV589842:DDV589847 DNR589842:DNR589847 DXN589842:DXN589847 EHJ589842:EHJ589847 ERF589842:ERF589847 FBB589842:FBB589847 FKX589842:FKX589847 FUT589842:FUT589847 GEP589842:GEP589847 GOL589842:GOL589847 GYH589842:GYH589847 HID589842:HID589847 HRZ589842:HRZ589847 IBV589842:IBV589847 ILR589842:ILR589847 IVN589842:IVN589847 JFJ589842:JFJ589847 JPF589842:JPF589847 JZB589842:JZB589847 KIX589842:KIX589847 KST589842:KST589847 LCP589842:LCP589847 LML589842:LML589847 LWH589842:LWH589847 MGD589842:MGD589847 MPZ589842:MPZ589847 MZV589842:MZV589847 NJR589842:NJR589847 NTN589842:NTN589847 ODJ589842:ODJ589847 ONF589842:ONF589847 OXB589842:OXB589847 PGX589842:PGX589847 PQT589842:PQT589847 QAP589842:QAP589847 QKL589842:QKL589847 QUH589842:QUH589847 RED589842:RED589847 RNZ589842:RNZ589847 RXV589842:RXV589847 SHR589842:SHR589847 SRN589842:SRN589847 TBJ589842:TBJ589847 TLF589842:TLF589847 TVB589842:TVB589847 UEX589842:UEX589847 UOT589842:UOT589847 UYP589842:UYP589847 VIL589842:VIL589847 VSH589842:VSH589847 WCD589842:WCD589847 WLZ589842:WLZ589847 WVV589842:WVV589847 N655378:N655383 JJ655378:JJ655383 TF655378:TF655383 ADB655378:ADB655383 AMX655378:AMX655383 AWT655378:AWT655383 BGP655378:BGP655383 BQL655378:BQL655383 CAH655378:CAH655383 CKD655378:CKD655383 CTZ655378:CTZ655383 DDV655378:DDV655383 DNR655378:DNR655383 DXN655378:DXN655383 EHJ655378:EHJ655383 ERF655378:ERF655383 FBB655378:FBB655383 FKX655378:FKX655383 FUT655378:FUT655383 GEP655378:GEP655383 GOL655378:GOL655383 GYH655378:GYH655383 HID655378:HID655383 HRZ655378:HRZ655383 IBV655378:IBV655383 ILR655378:ILR655383 IVN655378:IVN655383 JFJ655378:JFJ655383 JPF655378:JPF655383 JZB655378:JZB655383 KIX655378:KIX655383 KST655378:KST655383 LCP655378:LCP655383 LML655378:LML655383 LWH655378:LWH655383 MGD655378:MGD655383 MPZ655378:MPZ655383 MZV655378:MZV655383 NJR655378:NJR655383 NTN655378:NTN655383 ODJ655378:ODJ655383 ONF655378:ONF655383 OXB655378:OXB655383 PGX655378:PGX655383 PQT655378:PQT655383 QAP655378:QAP655383 QKL655378:QKL655383 QUH655378:QUH655383 RED655378:RED655383 RNZ655378:RNZ655383 RXV655378:RXV655383 SHR655378:SHR655383 SRN655378:SRN655383 TBJ655378:TBJ655383 TLF655378:TLF655383 TVB655378:TVB655383 UEX655378:UEX655383 UOT655378:UOT655383 UYP655378:UYP655383 VIL655378:VIL655383 VSH655378:VSH655383 WCD655378:WCD655383 WLZ655378:WLZ655383 WVV655378:WVV655383 N720914:N720919 JJ720914:JJ720919 TF720914:TF720919 ADB720914:ADB720919 AMX720914:AMX720919 AWT720914:AWT720919 BGP720914:BGP720919 BQL720914:BQL720919 CAH720914:CAH720919 CKD720914:CKD720919 CTZ720914:CTZ720919 DDV720914:DDV720919 DNR720914:DNR720919 DXN720914:DXN720919 EHJ720914:EHJ720919 ERF720914:ERF720919 FBB720914:FBB720919 FKX720914:FKX720919 FUT720914:FUT720919 GEP720914:GEP720919 GOL720914:GOL720919 GYH720914:GYH720919 HID720914:HID720919 HRZ720914:HRZ720919 IBV720914:IBV720919 ILR720914:ILR720919 IVN720914:IVN720919 JFJ720914:JFJ720919 JPF720914:JPF720919 JZB720914:JZB720919 KIX720914:KIX720919 KST720914:KST720919 LCP720914:LCP720919 LML720914:LML720919 LWH720914:LWH720919 MGD720914:MGD720919 MPZ720914:MPZ720919 MZV720914:MZV720919 NJR720914:NJR720919 NTN720914:NTN720919 ODJ720914:ODJ720919 ONF720914:ONF720919 OXB720914:OXB720919 PGX720914:PGX720919 PQT720914:PQT720919 QAP720914:QAP720919 QKL720914:QKL720919 QUH720914:QUH720919 RED720914:RED720919 RNZ720914:RNZ720919 RXV720914:RXV720919 SHR720914:SHR720919 SRN720914:SRN720919 TBJ720914:TBJ720919 TLF720914:TLF720919 TVB720914:TVB720919 UEX720914:UEX720919 UOT720914:UOT720919 UYP720914:UYP720919 VIL720914:VIL720919 VSH720914:VSH720919 WCD720914:WCD720919 WLZ720914:WLZ720919 WVV720914:WVV720919 N786450:N786455 JJ786450:JJ786455 TF786450:TF786455 ADB786450:ADB786455 AMX786450:AMX786455 AWT786450:AWT786455 BGP786450:BGP786455 BQL786450:BQL786455 CAH786450:CAH786455 CKD786450:CKD786455 CTZ786450:CTZ786455 DDV786450:DDV786455 DNR786450:DNR786455 DXN786450:DXN786455 EHJ786450:EHJ786455 ERF786450:ERF786455 FBB786450:FBB786455 FKX786450:FKX786455 FUT786450:FUT786455 GEP786450:GEP786455 GOL786450:GOL786455 GYH786450:GYH786455 HID786450:HID786455 HRZ786450:HRZ786455 IBV786450:IBV786455 ILR786450:ILR786455 IVN786450:IVN786455 JFJ786450:JFJ786455 JPF786450:JPF786455 JZB786450:JZB786455 KIX786450:KIX786455 KST786450:KST786455 LCP786450:LCP786455 LML786450:LML786455 LWH786450:LWH786455 MGD786450:MGD786455 MPZ786450:MPZ786455 MZV786450:MZV786455 NJR786450:NJR786455 NTN786450:NTN786455 ODJ786450:ODJ786455 ONF786450:ONF786455 OXB786450:OXB786455 PGX786450:PGX786455 PQT786450:PQT786455 QAP786450:QAP786455 QKL786450:QKL786455 QUH786450:QUH786455 RED786450:RED786455 RNZ786450:RNZ786455 RXV786450:RXV786455 SHR786450:SHR786455 SRN786450:SRN786455 TBJ786450:TBJ786455 TLF786450:TLF786455 TVB786450:TVB786455 UEX786450:UEX786455 UOT786450:UOT786455 UYP786450:UYP786455 VIL786450:VIL786455 VSH786450:VSH786455 WCD786450:WCD786455 WLZ786450:WLZ786455 WVV786450:WVV786455 N851986:N851991 JJ851986:JJ851991 TF851986:TF851991 ADB851986:ADB851991 AMX851986:AMX851991 AWT851986:AWT851991 BGP851986:BGP851991 BQL851986:BQL851991 CAH851986:CAH851991 CKD851986:CKD851991 CTZ851986:CTZ851991 DDV851986:DDV851991 DNR851986:DNR851991 DXN851986:DXN851991 EHJ851986:EHJ851991 ERF851986:ERF851991 FBB851986:FBB851991 FKX851986:FKX851991 FUT851986:FUT851991 GEP851986:GEP851991 GOL851986:GOL851991 GYH851986:GYH851991 HID851986:HID851991 HRZ851986:HRZ851991 IBV851986:IBV851991 ILR851986:ILR851991 IVN851986:IVN851991 JFJ851986:JFJ851991 JPF851986:JPF851991 JZB851986:JZB851991 KIX851986:KIX851991 KST851986:KST851991 LCP851986:LCP851991 LML851986:LML851991 LWH851986:LWH851991 MGD851986:MGD851991 MPZ851986:MPZ851991 MZV851986:MZV851991 NJR851986:NJR851991 NTN851986:NTN851991 ODJ851986:ODJ851991 ONF851986:ONF851991 OXB851986:OXB851991 PGX851986:PGX851991 PQT851986:PQT851991 QAP851986:QAP851991 QKL851986:QKL851991 QUH851986:QUH851991 RED851986:RED851991 RNZ851986:RNZ851991 RXV851986:RXV851991 SHR851986:SHR851991 SRN851986:SRN851991 TBJ851986:TBJ851991 TLF851986:TLF851991 TVB851986:TVB851991 UEX851986:UEX851991 UOT851986:UOT851991 UYP851986:UYP851991 VIL851986:VIL851991 VSH851986:VSH851991 WCD851986:WCD851991 WLZ851986:WLZ851991 WVV851986:WVV851991 N917522:N917527 JJ917522:JJ917527 TF917522:TF917527 ADB917522:ADB917527 AMX917522:AMX917527 AWT917522:AWT917527 BGP917522:BGP917527 BQL917522:BQL917527 CAH917522:CAH917527 CKD917522:CKD917527 CTZ917522:CTZ917527 DDV917522:DDV917527 DNR917522:DNR917527 DXN917522:DXN917527 EHJ917522:EHJ917527 ERF917522:ERF917527 FBB917522:FBB917527 FKX917522:FKX917527 FUT917522:FUT917527 GEP917522:GEP917527 GOL917522:GOL917527 GYH917522:GYH917527 HID917522:HID917527 HRZ917522:HRZ917527 IBV917522:IBV917527 ILR917522:ILR917527 IVN917522:IVN917527 JFJ917522:JFJ917527 JPF917522:JPF917527 JZB917522:JZB917527 KIX917522:KIX917527 KST917522:KST917527 LCP917522:LCP917527 LML917522:LML917527 LWH917522:LWH917527 MGD917522:MGD917527 MPZ917522:MPZ917527 MZV917522:MZV917527 NJR917522:NJR917527 NTN917522:NTN917527 ODJ917522:ODJ917527 ONF917522:ONF917527 OXB917522:OXB917527 PGX917522:PGX917527 PQT917522:PQT917527 QAP917522:QAP917527 QKL917522:QKL917527 QUH917522:QUH917527 RED917522:RED917527 RNZ917522:RNZ917527 RXV917522:RXV917527 SHR917522:SHR917527 SRN917522:SRN917527 TBJ917522:TBJ917527 TLF917522:TLF917527 TVB917522:TVB917527 UEX917522:UEX917527 UOT917522:UOT917527 UYP917522:UYP917527 VIL917522:VIL917527 VSH917522:VSH917527 WCD917522:WCD917527 WLZ917522:WLZ917527 WVV917522:WVV917527 N983058:N983063 JJ983058:JJ983063 TF983058:TF983063 ADB983058:ADB983063 AMX983058:AMX983063 AWT983058:AWT983063 BGP983058:BGP983063 BQL983058:BQL983063 CAH983058:CAH983063 CKD983058:CKD983063 CTZ983058:CTZ983063 DDV983058:DDV983063 DNR983058:DNR983063 DXN983058:DXN983063 EHJ983058:EHJ983063 ERF983058:ERF983063 FBB983058:FBB983063 FKX983058:FKX983063 FUT983058:FUT983063 GEP983058:GEP983063 GOL983058:GOL983063 GYH983058:GYH983063 HID983058:HID983063 HRZ983058:HRZ983063 IBV983058:IBV983063 ILR983058:ILR983063 IVN983058:IVN983063 JFJ983058:JFJ983063 JPF983058:JPF983063 JZB983058:JZB983063 KIX983058:KIX983063 KST983058:KST983063 LCP983058:LCP983063 LML983058:LML983063 LWH983058:LWH983063 MGD983058:MGD983063 MPZ983058:MPZ983063 MZV983058:MZV983063 NJR983058:NJR983063 NTN983058:NTN983063 ODJ983058:ODJ983063 ONF983058:ONF983063 OXB983058:OXB983063 PGX983058:PGX983063 PQT983058:PQT983063 QAP983058:QAP983063 QKL983058:QKL983063 QUH983058:QUH983063 RED983058:RED983063 RNZ983058:RNZ983063 RXV983058:RXV983063 SHR983058:SHR983063 SRN983058:SRN983063 TBJ983058:TBJ983063 TLF983058:TLF983063 TVB983058:TVB983063 UEX983058:UEX983063 UOT983058:UOT983063 UYP983058:UYP983063 VIL983058:VIL983063 VSH983058:VSH983063 WCD983058:WCD983063 WLZ983058:WLZ983063">
      <formula1>0</formula1>
      <formula2>1</formula2>
    </dataValidation>
    <dataValidation type="decimal" allowBlank="1" showErrorMessage="1" errorTitle="Erro de valores" error="Digite um valor entre 0% e 100%" sqref="N18:N23">
      <formula1>0</formula1>
      <formula2>1</formula2>
    </dataValidation>
  </dataValidations>
  <pageMargins left="0.51181102362204722" right="0.51181102362204722" top="0.78740157480314965" bottom="0.78740157480314965" header="0.31496062992125984" footer="0.31496062992125984"/>
  <pageSetup paperSize="9" scale="8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2"/>
  <sheetViews>
    <sheetView view="pageBreakPreview" topLeftCell="A187" zoomScale="85" zoomScaleNormal="100" zoomScaleSheetLayoutView="85" workbookViewId="0">
      <selection activeCell="C12" sqref="C12"/>
    </sheetView>
  </sheetViews>
  <sheetFormatPr defaultColWidth="9" defaultRowHeight="13.8" x14ac:dyDescent="0.25"/>
  <cols>
    <col min="1" max="2" width="10" style="1" bestFit="1" customWidth="1"/>
    <col min="3" max="3" width="60" style="1" bestFit="1" customWidth="1"/>
    <col min="4" max="4" width="11.296875" style="1" customWidth="1"/>
    <col min="5" max="5" width="7.5" style="1" customWidth="1"/>
    <col min="6" max="6" width="13" style="1" bestFit="1" customWidth="1"/>
    <col min="7" max="7" width="2.19921875" style="1" customWidth="1"/>
    <col min="8" max="8" width="13" style="1" bestFit="1" customWidth="1"/>
    <col min="9" max="9" width="1.69921875" style="1" customWidth="1"/>
    <col min="10" max="10" width="13" style="1" customWidth="1"/>
    <col min="11" max="11" width="1.69921875" style="1" customWidth="1"/>
    <col min="12" max="12" width="13" style="1" bestFit="1" customWidth="1"/>
    <col min="13" max="13" width="10.5" style="1" customWidth="1"/>
    <col min="14" max="14" width="11" style="1" customWidth="1"/>
    <col min="15" max="15" width="12.296875" style="1" customWidth="1"/>
    <col min="16" max="16" width="13" style="1" bestFit="1" customWidth="1"/>
    <col min="17" max="17" width="15" style="1" bestFit="1" customWidth="1"/>
    <col min="18" max="16384" width="9" style="1"/>
  </cols>
  <sheetData>
    <row r="1" spans="1:17" x14ac:dyDescent="0.25">
      <c r="A1" s="2"/>
      <c r="B1" s="2"/>
      <c r="C1" s="2" t="str">
        <f>'Planilha sintetica'!A1</f>
        <v>Cliente: PREFEITURA MUNICIPAL DE ENGENHEIRO COELHO</v>
      </c>
      <c r="D1" s="2"/>
      <c r="E1" s="200" t="s">
        <v>23</v>
      </c>
      <c r="F1" s="200"/>
      <c r="G1" s="200"/>
      <c r="H1" s="200" t="s">
        <v>24</v>
      </c>
      <c r="I1" s="200"/>
      <c r="J1" s="200"/>
      <c r="K1" s="200"/>
      <c r="L1" s="181"/>
      <c r="M1" s="181"/>
      <c r="N1" s="181"/>
      <c r="O1" s="181"/>
    </row>
    <row r="2" spans="1:17" ht="80.099999999999994" customHeight="1" x14ac:dyDescent="0.25">
      <c r="A2" s="3"/>
      <c r="B2" s="3"/>
      <c r="C2" s="3" t="str">
        <f>'Planilha sintetica'!A2</f>
        <v>Obra: TRAVESSIA JARDIM MERCEDEZ - PORTAL DO LAGO</v>
      </c>
      <c r="D2" s="3"/>
      <c r="E2" s="201">
        <f>BDI!N27</f>
        <v>0.28820000000000001</v>
      </c>
      <c r="F2" s="182"/>
      <c r="G2" s="182"/>
      <c r="H2" s="182" t="s">
        <v>25</v>
      </c>
      <c r="I2" s="182"/>
      <c r="J2" s="182"/>
      <c r="K2" s="182"/>
      <c r="L2" s="181"/>
      <c r="M2" s="181"/>
      <c r="N2" s="181"/>
      <c r="O2" s="181"/>
    </row>
    <row r="3" spans="1:17" ht="14.1" customHeight="1" x14ac:dyDescent="0.25">
      <c r="A3" s="199" t="s">
        <v>31</v>
      </c>
      <c r="B3" s="199"/>
      <c r="C3" s="199"/>
      <c r="D3" s="199"/>
      <c r="E3" s="199"/>
      <c r="F3" s="199"/>
      <c r="G3" s="199"/>
      <c r="H3" s="199"/>
      <c r="I3" s="199"/>
      <c r="J3" s="64"/>
      <c r="K3" s="64"/>
      <c r="L3" s="64"/>
      <c r="M3" s="64"/>
      <c r="N3" s="64"/>
      <c r="O3" s="64"/>
      <c r="P3" s="64"/>
      <c r="Q3" s="64"/>
    </row>
    <row r="4" spans="1:17" s="47" customFormat="1" ht="20.100000000000001" customHeight="1" x14ac:dyDescent="0.25">
      <c r="A4" s="247" t="s">
        <v>82</v>
      </c>
      <c r="B4" s="193" t="s">
        <v>83</v>
      </c>
      <c r="C4" s="193" t="s">
        <v>1</v>
      </c>
      <c r="D4" s="193" t="s">
        <v>97</v>
      </c>
      <c r="E4" s="248" t="s">
        <v>2</v>
      </c>
      <c r="F4" s="248" t="s">
        <v>98</v>
      </c>
      <c r="G4" s="247"/>
      <c r="H4" s="248" t="s">
        <v>99</v>
      </c>
      <c r="I4" s="247"/>
      <c r="J4" s="248" t="s">
        <v>86</v>
      </c>
      <c r="K4" s="247"/>
      <c r="L4" s="247"/>
      <c r="M4" s="247" t="s">
        <v>100</v>
      </c>
      <c r="N4" s="247" t="s">
        <v>101</v>
      </c>
      <c r="O4" s="247" t="s">
        <v>102</v>
      </c>
    </row>
    <row r="5" spans="1:17" s="47" customFormat="1" ht="20.100000000000001" customHeight="1" x14ac:dyDescent="0.25">
      <c r="A5" s="247"/>
      <c r="B5" s="193"/>
      <c r="C5" s="193"/>
      <c r="D5" s="193"/>
      <c r="E5" s="248"/>
      <c r="F5" s="99" t="s">
        <v>103</v>
      </c>
      <c r="G5" s="99" t="s">
        <v>104</v>
      </c>
      <c r="H5" s="99" t="s">
        <v>103</v>
      </c>
      <c r="I5" s="99" t="s">
        <v>104</v>
      </c>
      <c r="J5" s="99" t="s">
        <v>103</v>
      </c>
      <c r="K5" s="99" t="s">
        <v>104</v>
      </c>
      <c r="L5" s="99" t="s">
        <v>105</v>
      </c>
      <c r="M5" s="247"/>
      <c r="N5" s="247"/>
      <c r="O5" s="247"/>
    </row>
    <row r="6" spans="1:17" ht="26.4" x14ac:dyDescent="0.25">
      <c r="A6" s="154" t="s">
        <v>617</v>
      </c>
      <c r="B6" s="155" t="s">
        <v>87</v>
      </c>
      <c r="C6" s="155" t="s">
        <v>618</v>
      </c>
      <c r="D6" s="155" t="s">
        <v>395</v>
      </c>
      <c r="E6" s="156" t="s">
        <v>13</v>
      </c>
      <c r="F6" s="154" t="s">
        <v>840</v>
      </c>
      <c r="G6" s="154" t="s">
        <v>27</v>
      </c>
      <c r="H6" s="154" t="s">
        <v>1416</v>
      </c>
      <c r="I6" s="154" t="s">
        <v>27</v>
      </c>
      <c r="J6" s="154" t="s">
        <v>1417</v>
      </c>
      <c r="K6" s="154" t="s">
        <v>27</v>
      </c>
      <c r="L6" s="158">
        <v>160833.78187499999</v>
      </c>
      <c r="M6" s="154" t="s">
        <v>1418</v>
      </c>
      <c r="N6" s="158">
        <v>160833.78187499999</v>
      </c>
      <c r="O6" s="154" t="s">
        <v>1418</v>
      </c>
    </row>
    <row r="7" spans="1:17" ht="26.4" x14ac:dyDescent="0.25">
      <c r="A7" s="154" t="s">
        <v>657</v>
      </c>
      <c r="B7" s="155" t="s">
        <v>326</v>
      </c>
      <c r="C7" s="155" t="s">
        <v>658</v>
      </c>
      <c r="D7" s="155" t="s">
        <v>395</v>
      </c>
      <c r="E7" s="156" t="s">
        <v>19</v>
      </c>
      <c r="F7" s="154" t="s">
        <v>841</v>
      </c>
      <c r="G7" s="154" t="s">
        <v>27</v>
      </c>
      <c r="H7" s="154" t="s">
        <v>842</v>
      </c>
      <c r="I7" s="154" t="s">
        <v>27</v>
      </c>
      <c r="J7" s="154" t="s">
        <v>843</v>
      </c>
      <c r="K7" s="154" t="s">
        <v>27</v>
      </c>
      <c r="L7" s="158">
        <v>108154.76</v>
      </c>
      <c r="M7" s="154" t="s">
        <v>844</v>
      </c>
      <c r="N7" s="158">
        <v>268988.541875</v>
      </c>
      <c r="O7" s="154" t="s">
        <v>1419</v>
      </c>
    </row>
    <row r="8" spans="1:17" ht="39.6" x14ac:dyDescent="0.25">
      <c r="A8" s="154" t="s">
        <v>792</v>
      </c>
      <c r="B8" s="155" t="s">
        <v>87</v>
      </c>
      <c r="C8" s="155" t="s">
        <v>793</v>
      </c>
      <c r="D8" s="155" t="s">
        <v>395</v>
      </c>
      <c r="E8" s="156" t="s">
        <v>794</v>
      </c>
      <c r="F8" s="154" t="s">
        <v>848</v>
      </c>
      <c r="G8" s="154" t="s">
        <v>27</v>
      </c>
      <c r="H8" s="154" t="s">
        <v>1420</v>
      </c>
      <c r="I8" s="154" t="s">
        <v>27</v>
      </c>
      <c r="J8" s="154" t="s">
        <v>1421</v>
      </c>
      <c r="K8" s="154" t="s">
        <v>27</v>
      </c>
      <c r="L8" s="158">
        <v>48085.893763199994</v>
      </c>
      <c r="M8" s="154" t="s">
        <v>1422</v>
      </c>
      <c r="N8" s="158">
        <v>317074.43563820003</v>
      </c>
      <c r="O8" s="154" t="s">
        <v>1423</v>
      </c>
    </row>
    <row r="9" spans="1:17" x14ac:dyDescent="0.25">
      <c r="A9" s="154" t="s">
        <v>845</v>
      </c>
      <c r="B9" s="155" t="s">
        <v>87</v>
      </c>
      <c r="C9" s="155" t="s">
        <v>846</v>
      </c>
      <c r="D9" s="155" t="s">
        <v>395</v>
      </c>
      <c r="E9" s="156" t="s">
        <v>30</v>
      </c>
      <c r="F9" s="154" t="s">
        <v>847</v>
      </c>
      <c r="G9" s="154" t="s">
        <v>27</v>
      </c>
      <c r="H9" s="154" t="s">
        <v>1424</v>
      </c>
      <c r="I9" s="154" t="s">
        <v>27</v>
      </c>
      <c r="J9" s="154" t="s">
        <v>1425</v>
      </c>
      <c r="K9" s="154" t="s">
        <v>27</v>
      </c>
      <c r="L9" s="158">
        <v>44800.755939501003</v>
      </c>
      <c r="M9" s="154" t="s">
        <v>1426</v>
      </c>
      <c r="N9" s="158">
        <v>361875.19157770002</v>
      </c>
      <c r="O9" s="154" t="s">
        <v>1427</v>
      </c>
    </row>
    <row r="10" spans="1:17" ht="39.6" x14ac:dyDescent="0.25">
      <c r="A10" s="154" t="s">
        <v>795</v>
      </c>
      <c r="B10" s="155" t="s">
        <v>87</v>
      </c>
      <c r="C10" s="155" t="s">
        <v>796</v>
      </c>
      <c r="D10" s="155" t="s">
        <v>395</v>
      </c>
      <c r="E10" s="156" t="s">
        <v>794</v>
      </c>
      <c r="F10" s="154" t="s">
        <v>849</v>
      </c>
      <c r="G10" s="154" t="s">
        <v>27</v>
      </c>
      <c r="H10" s="154" t="s">
        <v>1428</v>
      </c>
      <c r="I10" s="154" t="s">
        <v>27</v>
      </c>
      <c r="J10" s="154" t="s">
        <v>1429</v>
      </c>
      <c r="K10" s="154" t="s">
        <v>27</v>
      </c>
      <c r="L10" s="158">
        <v>41130.305139600001</v>
      </c>
      <c r="M10" s="154" t="s">
        <v>1430</v>
      </c>
      <c r="N10" s="158">
        <v>403005.49671729997</v>
      </c>
      <c r="O10" s="154" t="s">
        <v>1431</v>
      </c>
    </row>
    <row r="11" spans="1:17" ht="26.4" x14ac:dyDescent="0.25">
      <c r="A11" s="154" t="s">
        <v>579</v>
      </c>
      <c r="B11" s="155" t="s">
        <v>87</v>
      </c>
      <c r="C11" s="155" t="s">
        <v>580</v>
      </c>
      <c r="D11" s="155" t="s">
        <v>395</v>
      </c>
      <c r="E11" s="156" t="s">
        <v>19</v>
      </c>
      <c r="F11" s="154" t="s">
        <v>850</v>
      </c>
      <c r="G11" s="154" t="s">
        <v>27</v>
      </c>
      <c r="H11" s="154" t="s">
        <v>1432</v>
      </c>
      <c r="I11" s="154" t="s">
        <v>27</v>
      </c>
      <c r="J11" s="154" t="s">
        <v>1433</v>
      </c>
      <c r="K11" s="154" t="s">
        <v>27</v>
      </c>
      <c r="L11" s="158">
        <v>36124.269999999997</v>
      </c>
      <c r="M11" s="154" t="s">
        <v>1434</v>
      </c>
      <c r="N11" s="158">
        <v>439129.76671729999</v>
      </c>
      <c r="O11" s="154" t="s">
        <v>1435</v>
      </c>
    </row>
    <row r="12" spans="1:17" ht="26.4" x14ac:dyDescent="0.25">
      <c r="A12" s="154" t="s">
        <v>851</v>
      </c>
      <c r="B12" s="155" t="s">
        <v>87</v>
      </c>
      <c r="C12" s="155" t="s">
        <v>852</v>
      </c>
      <c r="D12" s="155" t="s">
        <v>853</v>
      </c>
      <c r="E12" s="156" t="s">
        <v>18</v>
      </c>
      <c r="F12" s="154" t="s">
        <v>854</v>
      </c>
      <c r="G12" s="154" t="s">
        <v>27</v>
      </c>
      <c r="H12" s="154" t="s">
        <v>1436</v>
      </c>
      <c r="I12" s="154" t="s">
        <v>27</v>
      </c>
      <c r="J12" s="154" t="s">
        <v>1437</v>
      </c>
      <c r="K12" s="154" t="s">
        <v>27</v>
      </c>
      <c r="L12" s="158">
        <v>21582.690662384</v>
      </c>
      <c r="M12" s="154" t="s">
        <v>1438</v>
      </c>
      <c r="N12" s="158">
        <v>460712.45737969998</v>
      </c>
      <c r="O12" s="154" t="s">
        <v>1439</v>
      </c>
    </row>
    <row r="13" spans="1:17" ht="39.6" x14ac:dyDescent="0.25">
      <c r="A13" s="154" t="s">
        <v>811</v>
      </c>
      <c r="B13" s="155" t="s">
        <v>87</v>
      </c>
      <c r="C13" s="155" t="s">
        <v>812</v>
      </c>
      <c r="D13" s="155" t="s">
        <v>395</v>
      </c>
      <c r="E13" s="156" t="s">
        <v>13</v>
      </c>
      <c r="F13" s="154" t="s">
        <v>856</v>
      </c>
      <c r="G13" s="154" t="s">
        <v>27</v>
      </c>
      <c r="H13" s="154" t="s">
        <v>1440</v>
      </c>
      <c r="I13" s="154" t="s">
        <v>27</v>
      </c>
      <c r="J13" s="154" t="s">
        <v>1441</v>
      </c>
      <c r="K13" s="154" t="s">
        <v>27</v>
      </c>
      <c r="L13" s="158">
        <v>19442.162992000001</v>
      </c>
      <c r="M13" s="154" t="s">
        <v>1442</v>
      </c>
      <c r="N13" s="158">
        <v>480154.62037169997</v>
      </c>
      <c r="O13" s="154" t="s">
        <v>1443</v>
      </c>
    </row>
    <row r="14" spans="1:17" x14ac:dyDescent="0.25">
      <c r="A14" s="154" t="s">
        <v>727</v>
      </c>
      <c r="B14" s="155" t="s">
        <v>87</v>
      </c>
      <c r="C14" s="155" t="s">
        <v>728</v>
      </c>
      <c r="D14" s="155" t="s">
        <v>395</v>
      </c>
      <c r="E14" s="156" t="s">
        <v>28</v>
      </c>
      <c r="F14" s="154" t="s">
        <v>855</v>
      </c>
      <c r="G14" s="154" t="s">
        <v>27</v>
      </c>
      <c r="H14" s="154" t="s">
        <v>1444</v>
      </c>
      <c r="I14" s="154" t="s">
        <v>27</v>
      </c>
      <c r="J14" s="154" t="s">
        <v>1445</v>
      </c>
      <c r="K14" s="154" t="s">
        <v>27</v>
      </c>
      <c r="L14" s="158">
        <v>18376.839942256</v>
      </c>
      <c r="M14" s="154" t="s">
        <v>1446</v>
      </c>
      <c r="N14" s="158">
        <v>498531.46031400003</v>
      </c>
      <c r="O14" s="154" t="s">
        <v>1447</v>
      </c>
    </row>
    <row r="15" spans="1:17" x14ac:dyDescent="0.25">
      <c r="A15" s="154" t="s">
        <v>857</v>
      </c>
      <c r="B15" s="155" t="s">
        <v>87</v>
      </c>
      <c r="C15" s="155" t="s">
        <v>858</v>
      </c>
      <c r="D15" s="155" t="s">
        <v>389</v>
      </c>
      <c r="E15" s="156" t="s">
        <v>490</v>
      </c>
      <c r="F15" s="154" t="s">
        <v>1448</v>
      </c>
      <c r="G15" s="154" t="s">
        <v>27</v>
      </c>
      <c r="H15" s="154" t="s">
        <v>1449</v>
      </c>
      <c r="I15" s="154" t="s">
        <v>27</v>
      </c>
      <c r="J15" s="154" t="s">
        <v>1450</v>
      </c>
      <c r="K15" s="154" t="s">
        <v>27</v>
      </c>
      <c r="L15" s="158">
        <v>17028.134741680002</v>
      </c>
      <c r="M15" s="154" t="s">
        <v>1451</v>
      </c>
      <c r="N15" s="158">
        <v>515559.59505569999</v>
      </c>
      <c r="O15" s="154" t="s">
        <v>1452</v>
      </c>
    </row>
    <row r="16" spans="1:17" x14ac:dyDescent="0.25">
      <c r="A16" s="154" t="s">
        <v>860</v>
      </c>
      <c r="B16" s="155" t="s">
        <v>87</v>
      </c>
      <c r="C16" s="155" t="s">
        <v>861</v>
      </c>
      <c r="D16" s="155" t="s">
        <v>389</v>
      </c>
      <c r="E16" s="156" t="s">
        <v>490</v>
      </c>
      <c r="F16" s="154" t="s">
        <v>1453</v>
      </c>
      <c r="G16" s="154" t="s">
        <v>27</v>
      </c>
      <c r="H16" s="154" t="s">
        <v>1454</v>
      </c>
      <c r="I16" s="154" t="s">
        <v>27</v>
      </c>
      <c r="J16" s="154" t="s">
        <v>1455</v>
      </c>
      <c r="K16" s="154" t="s">
        <v>27</v>
      </c>
      <c r="L16" s="158">
        <v>13545.172550409001</v>
      </c>
      <c r="M16" s="154" t="s">
        <v>1456</v>
      </c>
      <c r="N16" s="158">
        <v>529104.76760609995</v>
      </c>
      <c r="O16" s="154" t="s">
        <v>1457</v>
      </c>
    </row>
    <row r="17" spans="1:15" ht="39.6" x14ac:dyDescent="0.25">
      <c r="A17" s="154" t="s">
        <v>762</v>
      </c>
      <c r="B17" s="155" t="s">
        <v>1373</v>
      </c>
      <c r="C17" s="155" t="s">
        <v>763</v>
      </c>
      <c r="D17" s="155" t="s">
        <v>395</v>
      </c>
      <c r="E17" s="156" t="s">
        <v>28</v>
      </c>
      <c r="F17" s="154" t="s">
        <v>859</v>
      </c>
      <c r="G17" s="154" t="s">
        <v>27</v>
      </c>
      <c r="H17" s="154" t="s">
        <v>1458</v>
      </c>
      <c r="I17" s="154" t="s">
        <v>27</v>
      </c>
      <c r="J17" s="154" t="s">
        <v>1459</v>
      </c>
      <c r="K17" s="154" t="s">
        <v>27</v>
      </c>
      <c r="L17" s="158">
        <v>13177.125</v>
      </c>
      <c r="M17" s="154" t="s">
        <v>1460</v>
      </c>
      <c r="N17" s="158">
        <v>542281.89260609995</v>
      </c>
      <c r="O17" s="154" t="s">
        <v>1461</v>
      </c>
    </row>
    <row r="18" spans="1:15" ht="39.6" x14ac:dyDescent="0.25">
      <c r="A18" s="154" t="s">
        <v>687</v>
      </c>
      <c r="B18" s="155" t="s">
        <v>1373</v>
      </c>
      <c r="C18" s="155" t="s">
        <v>688</v>
      </c>
      <c r="D18" s="155" t="s">
        <v>395</v>
      </c>
      <c r="E18" s="156" t="s">
        <v>13</v>
      </c>
      <c r="F18" s="154" t="s">
        <v>862</v>
      </c>
      <c r="G18" s="154" t="s">
        <v>27</v>
      </c>
      <c r="H18" s="154" t="s">
        <v>1462</v>
      </c>
      <c r="I18" s="154" t="s">
        <v>27</v>
      </c>
      <c r="J18" s="154" t="s">
        <v>1463</v>
      </c>
      <c r="K18" s="154" t="s">
        <v>27</v>
      </c>
      <c r="L18" s="158">
        <v>12242.844504000001</v>
      </c>
      <c r="M18" s="154" t="s">
        <v>1464</v>
      </c>
      <c r="N18" s="158">
        <v>554524.73711009999</v>
      </c>
      <c r="O18" s="154" t="s">
        <v>1465</v>
      </c>
    </row>
    <row r="19" spans="1:15" x14ac:dyDescent="0.25">
      <c r="A19" s="154" t="s">
        <v>863</v>
      </c>
      <c r="B19" s="155" t="s">
        <v>87</v>
      </c>
      <c r="C19" s="155" t="s">
        <v>864</v>
      </c>
      <c r="D19" s="155" t="s">
        <v>865</v>
      </c>
      <c r="E19" s="156" t="s">
        <v>490</v>
      </c>
      <c r="F19" s="154" t="s">
        <v>1466</v>
      </c>
      <c r="G19" s="154" t="s">
        <v>27</v>
      </c>
      <c r="H19" s="154" t="s">
        <v>1467</v>
      </c>
      <c r="I19" s="154" t="s">
        <v>27</v>
      </c>
      <c r="J19" s="154" t="s">
        <v>1468</v>
      </c>
      <c r="K19" s="154" t="s">
        <v>27</v>
      </c>
      <c r="L19" s="158">
        <v>11744.068170955999</v>
      </c>
      <c r="M19" s="154" t="s">
        <v>1469</v>
      </c>
      <c r="N19" s="158">
        <v>566268.80528109998</v>
      </c>
      <c r="O19" s="154" t="s">
        <v>1470</v>
      </c>
    </row>
    <row r="20" spans="1:15" ht="39.6" x14ac:dyDescent="0.25">
      <c r="A20" s="154" t="s">
        <v>597</v>
      </c>
      <c r="B20" s="155" t="s">
        <v>1373</v>
      </c>
      <c r="C20" s="155" t="s">
        <v>598</v>
      </c>
      <c r="D20" s="155" t="s">
        <v>389</v>
      </c>
      <c r="E20" s="156" t="s">
        <v>390</v>
      </c>
      <c r="F20" s="154" t="s">
        <v>867</v>
      </c>
      <c r="G20" s="154" t="s">
        <v>27</v>
      </c>
      <c r="H20" s="154" t="s">
        <v>1471</v>
      </c>
      <c r="I20" s="154" t="s">
        <v>27</v>
      </c>
      <c r="J20" s="154" t="s">
        <v>1472</v>
      </c>
      <c r="K20" s="154" t="s">
        <v>27</v>
      </c>
      <c r="L20" s="158">
        <v>9787.7829690800008</v>
      </c>
      <c r="M20" s="154" t="s">
        <v>868</v>
      </c>
      <c r="N20" s="158">
        <v>576056.58825020003</v>
      </c>
      <c r="O20" s="154" t="s">
        <v>1473</v>
      </c>
    </row>
    <row r="21" spans="1:15" ht="39.6" x14ac:dyDescent="0.25">
      <c r="A21" s="154" t="s">
        <v>803</v>
      </c>
      <c r="B21" s="155" t="s">
        <v>87</v>
      </c>
      <c r="C21" s="155" t="s">
        <v>804</v>
      </c>
      <c r="D21" s="155" t="s">
        <v>395</v>
      </c>
      <c r="E21" s="156" t="s">
        <v>6</v>
      </c>
      <c r="F21" s="154" t="s">
        <v>869</v>
      </c>
      <c r="G21" s="154" t="s">
        <v>27</v>
      </c>
      <c r="H21" s="154" t="s">
        <v>1474</v>
      </c>
      <c r="I21" s="154" t="s">
        <v>27</v>
      </c>
      <c r="J21" s="154" t="s">
        <v>1475</v>
      </c>
      <c r="K21" s="154" t="s">
        <v>27</v>
      </c>
      <c r="L21" s="158">
        <v>7908.4408575999996</v>
      </c>
      <c r="M21" s="154" t="s">
        <v>1476</v>
      </c>
      <c r="N21" s="158">
        <v>583965.02910779999</v>
      </c>
      <c r="O21" s="154" t="s">
        <v>1477</v>
      </c>
    </row>
    <row r="22" spans="1:15" x14ac:dyDescent="0.25">
      <c r="A22" s="145" t="s">
        <v>870</v>
      </c>
      <c r="B22" s="146" t="s">
        <v>87</v>
      </c>
      <c r="C22" s="146" t="s">
        <v>871</v>
      </c>
      <c r="D22" s="146" t="s">
        <v>389</v>
      </c>
      <c r="E22" s="147" t="s">
        <v>490</v>
      </c>
      <c r="F22" s="145" t="s">
        <v>1478</v>
      </c>
      <c r="G22" s="145" t="s">
        <v>27</v>
      </c>
      <c r="H22" s="145" t="s">
        <v>1479</v>
      </c>
      <c r="I22" s="145" t="s">
        <v>27</v>
      </c>
      <c r="J22" s="145" t="s">
        <v>1480</v>
      </c>
      <c r="K22" s="145" t="s">
        <v>27</v>
      </c>
      <c r="L22" s="149">
        <v>7151.964025536</v>
      </c>
      <c r="M22" s="145" t="s">
        <v>1481</v>
      </c>
      <c r="N22" s="149">
        <v>591116.99313329998</v>
      </c>
      <c r="O22" s="145" t="s">
        <v>1482</v>
      </c>
    </row>
    <row r="23" spans="1:15" ht="26.4" x14ac:dyDescent="0.25">
      <c r="A23" s="145" t="s">
        <v>640</v>
      </c>
      <c r="B23" s="146" t="s">
        <v>87</v>
      </c>
      <c r="C23" s="146" t="s">
        <v>641</v>
      </c>
      <c r="D23" s="146" t="s">
        <v>395</v>
      </c>
      <c r="E23" s="147" t="s">
        <v>13</v>
      </c>
      <c r="F23" s="145" t="s">
        <v>872</v>
      </c>
      <c r="G23" s="145" t="s">
        <v>27</v>
      </c>
      <c r="H23" s="145" t="s">
        <v>873</v>
      </c>
      <c r="I23" s="145" t="s">
        <v>27</v>
      </c>
      <c r="J23" s="145" t="s">
        <v>874</v>
      </c>
      <c r="K23" s="145" t="s">
        <v>27</v>
      </c>
      <c r="L23" s="149">
        <v>6047.6406099999995</v>
      </c>
      <c r="M23" s="145" t="s">
        <v>875</v>
      </c>
      <c r="N23" s="149">
        <v>597164.63374329999</v>
      </c>
      <c r="O23" s="145" t="s">
        <v>1483</v>
      </c>
    </row>
    <row r="24" spans="1:15" ht="39.6" x14ac:dyDescent="0.25">
      <c r="A24" s="145" t="s">
        <v>876</v>
      </c>
      <c r="B24" s="146" t="s">
        <v>87</v>
      </c>
      <c r="C24" s="146" t="s">
        <v>877</v>
      </c>
      <c r="D24" s="146" t="s">
        <v>853</v>
      </c>
      <c r="E24" s="147" t="s">
        <v>18</v>
      </c>
      <c r="F24" s="145" t="s">
        <v>878</v>
      </c>
      <c r="G24" s="145" t="s">
        <v>27</v>
      </c>
      <c r="H24" s="145" t="s">
        <v>1484</v>
      </c>
      <c r="I24" s="145" t="s">
        <v>27</v>
      </c>
      <c r="J24" s="145" t="s">
        <v>1485</v>
      </c>
      <c r="K24" s="145" t="s">
        <v>27</v>
      </c>
      <c r="L24" s="149">
        <v>5923.5484956159999</v>
      </c>
      <c r="M24" s="145" t="s">
        <v>1486</v>
      </c>
      <c r="N24" s="149">
        <v>603088.18223889999</v>
      </c>
      <c r="O24" s="145" t="s">
        <v>1487</v>
      </c>
    </row>
    <row r="25" spans="1:15" ht="39.6" x14ac:dyDescent="0.25">
      <c r="A25" s="145" t="s">
        <v>880</v>
      </c>
      <c r="B25" s="146" t="s">
        <v>87</v>
      </c>
      <c r="C25" s="146" t="s">
        <v>881</v>
      </c>
      <c r="D25" s="146" t="s">
        <v>853</v>
      </c>
      <c r="E25" s="147" t="s">
        <v>18</v>
      </c>
      <c r="F25" s="145" t="s">
        <v>882</v>
      </c>
      <c r="G25" s="145" t="s">
        <v>27</v>
      </c>
      <c r="H25" s="145" t="s">
        <v>1488</v>
      </c>
      <c r="I25" s="145" t="s">
        <v>27</v>
      </c>
      <c r="J25" s="145" t="s">
        <v>1489</v>
      </c>
      <c r="K25" s="145" t="s">
        <v>27</v>
      </c>
      <c r="L25" s="149">
        <v>5798.4224332800004</v>
      </c>
      <c r="M25" s="145" t="s">
        <v>1490</v>
      </c>
      <c r="N25" s="149">
        <v>608886.60467220005</v>
      </c>
      <c r="O25" s="145" t="s">
        <v>1491</v>
      </c>
    </row>
    <row r="26" spans="1:15" ht="39.6" x14ac:dyDescent="0.25">
      <c r="A26" s="145" t="s">
        <v>599</v>
      </c>
      <c r="B26" s="146" t="s">
        <v>1373</v>
      </c>
      <c r="C26" s="146" t="s">
        <v>600</v>
      </c>
      <c r="D26" s="146" t="s">
        <v>395</v>
      </c>
      <c r="E26" s="147" t="s">
        <v>390</v>
      </c>
      <c r="F26" s="145" t="s">
        <v>879</v>
      </c>
      <c r="G26" s="145" t="s">
        <v>27</v>
      </c>
      <c r="H26" s="145" t="s">
        <v>1492</v>
      </c>
      <c r="I26" s="145" t="s">
        <v>27</v>
      </c>
      <c r="J26" s="145" t="s">
        <v>1493</v>
      </c>
      <c r="K26" s="145" t="s">
        <v>27</v>
      </c>
      <c r="L26" s="149">
        <v>4485.0077672400002</v>
      </c>
      <c r="M26" s="145" t="s">
        <v>1494</v>
      </c>
      <c r="N26" s="149">
        <v>613371.61243940005</v>
      </c>
      <c r="O26" s="145" t="s">
        <v>1495</v>
      </c>
    </row>
    <row r="27" spans="1:15" ht="39.6" x14ac:dyDescent="0.25">
      <c r="A27" s="145" t="s">
        <v>403</v>
      </c>
      <c r="B27" s="146" t="s">
        <v>1373</v>
      </c>
      <c r="C27" s="146" t="s">
        <v>404</v>
      </c>
      <c r="D27" s="146" t="s">
        <v>395</v>
      </c>
      <c r="E27" s="147" t="s">
        <v>6</v>
      </c>
      <c r="F27" s="145" t="s">
        <v>883</v>
      </c>
      <c r="G27" s="145" t="s">
        <v>27</v>
      </c>
      <c r="H27" s="145" t="s">
        <v>1496</v>
      </c>
      <c r="I27" s="145" t="s">
        <v>27</v>
      </c>
      <c r="J27" s="145" t="s">
        <v>1497</v>
      </c>
      <c r="K27" s="145" t="s">
        <v>27</v>
      </c>
      <c r="L27" s="149">
        <v>4423.5839999999998</v>
      </c>
      <c r="M27" s="145" t="s">
        <v>1494</v>
      </c>
      <c r="N27" s="149">
        <v>617795.19643939997</v>
      </c>
      <c r="O27" s="145" t="s">
        <v>1498</v>
      </c>
    </row>
    <row r="28" spans="1:15" ht="26.4" x14ac:dyDescent="0.25">
      <c r="A28" s="145" t="s">
        <v>738</v>
      </c>
      <c r="B28" s="146" t="s">
        <v>87</v>
      </c>
      <c r="C28" s="146" t="s">
        <v>739</v>
      </c>
      <c r="D28" s="146" t="s">
        <v>395</v>
      </c>
      <c r="E28" s="147" t="s">
        <v>30</v>
      </c>
      <c r="F28" s="145" t="s">
        <v>885</v>
      </c>
      <c r="G28" s="145" t="s">
        <v>27</v>
      </c>
      <c r="H28" s="145" t="s">
        <v>1499</v>
      </c>
      <c r="I28" s="145" t="s">
        <v>27</v>
      </c>
      <c r="J28" s="145" t="s">
        <v>1500</v>
      </c>
      <c r="K28" s="145" t="s">
        <v>27</v>
      </c>
      <c r="L28" s="149">
        <v>4292.041056</v>
      </c>
      <c r="M28" s="145" t="s">
        <v>884</v>
      </c>
      <c r="N28" s="149">
        <v>622087.23749540001</v>
      </c>
      <c r="O28" s="145" t="s">
        <v>1501</v>
      </c>
    </row>
    <row r="29" spans="1:15" ht="39.6" x14ac:dyDescent="0.25">
      <c r="A29" s="145" t="s">
        <v>813</v>
      </c>
      <c r="B29" s="146" t="s">
        <v>1373</v>
      </c>
      <c r="C29" s="146" t="s">
        <v>814</v>
      </c>
      <c r="D29" s="146" t="s">
        <v>395</v>
      </c>
      <c r="E29" s="147" t="s">
        <v>19</v>
      </c>
      <c r="F29" s="145" t="s">
        <v>890</v>
      </c>
      <c r="G29" s="145" t="s">
        <v>27</v>
      </c>
      <c r="H29" s="145" t="s">
        <v>1502</v>
      </c>
      <c r="I29" s="145" t="s">
        <v>27</v>
      </c>
      <c r="J29" s="145" t="s">
        <v>1503</v>
      </c>
      <c r="K29" s="145" t="s">
        <v>27</v>
      </c>
      <c r="L29" s="149">
        <v>4123.2960000000003</v>
      </c>
      <c r="M29" s="145" t="s">
        <v>1504</v>
      </c>
      <c r="N29" s="149">
        <v>626210.53349539998</v>
      </c>
      <c r="O29" s="145" t="s">
        <v>1505</v>
      </c>
    </row>
    <row r="30" spans="1:15" x14ac:dyDescent="0.25">
      <c r="A30" s="145" t="s">
        <v>886</v>
      </c>
      <c r="B30" s="146" t="s">
        <v>87</v>
      </c>
      <c r="C30" s="146" t="s">
        <v>887</v>
      </c>
      <c r="D30" s="146" t="s">
        <v>389</v>
      </c>
      <c r="E30" s="147" t="s">
        <v>490</v>
      </c>
      <c r="F30" s="145" t="s">
        <v>1506</v>
      </c>
      <c r="G30" s="145" t="s">
        <v>27</v>
      </c>
      <c r="H30" s="145" t="s">
        <v>1507</v>
      </c>
      <c r="I30" s="145" t="s">
        <v>27</v>
      </c>
      <c r="J30" s="145" t="s">
        <v>1508</v>
      </c>
      <c r="K30" s="145" t="s">
        <v>27</v>
      </c>
      <c r="L30" s="149">
        <v>3955.1696779980002</v>
      </c>
      <c r="M30" s="145" t="s">
        <v>888</v>
      </c>
      <c r="N30" s="149">
        <v>630165.70317340002</v>
      </c>
      <c r="O30" s="145" t="s">
        <v>1509</v>
      </c>
    </row>
    <row r="31" spans="1:15" x14ac:dyDescent="0.25">
      <c r="A31" s="145" t="s">
        <v>897</v>
      </c>
      <c r="B31" s="146" t="s">
        <v>87</v>
      </c>
      <c r="C31" s="146" t="s">
        <v>898</v>
      </c>
      <c r="D31" s="146" t="s">
        <v>865</v>
      </c>
      <c r="E31" s="147" t="s">
        <v>490</v>
      </c>
      <c r="F31" s="145" t="s">
        <v>1510</v>
      </c>
      <c r="G31" s="145" t="s">
        <v>27</v>
      </c>
      <c r="H31" s="145" t="s">
        <v>1511</v>
      </c>
      <c r="I31" s="145" t="s">
        <v>27</v>
      </c>
      <c r="J31" s="145" t="s">
        <v>1512</v>
      </c>
      <c r="K31" s="145" t="s">
        <v>27</v>
      </c>
      <c r="L31" s="149">
        <v>3583.1622052590001</v>
      </c>
      <c r="M31" s="145" t="s">
        <v>1513</v>
      </c>
      <c r="N31" s="149">
        <v>633748.86537869996</v>
      </c>
      <c r="O31" s="145" t="s">
        <v>1514</v>
      </c>
    </row>
    <row r="32" spans="1:15" ht="26.4" x14ac:dyDescent="0.25">
      <c r="A32" s="145" t="s">
        <v>748</v>
      </c>
      <c r="B32" s="146" t="s">
        <v>87</v>
      </c>
      <c r="C32" s="146" t="s">
        <v>749</v>
      </c>
      <c r="D32" s="146" t="s">
        <v>395</v>
      </c>
      <c r="E32" s="147" t="s">
        <v>19</v>
      </c>
      <c r="F32" s="145" t="s">
        <v>892</v>
      </c>
      <c r="G32" s="145" t="s">
        <v>27</v>
      </c>
      <c r="H32" s="145" t="s">
        <v>1515</v>
      </c>
      <c r="I32" s="145" t="s">
        <v>27</v>
      </c>
      <c r="J32" s="145" t="s">
        <v>1516</v>
      </c>
      <c r="K32" s="145" t="s">
        <v>27</v>
      </c>
      <c r="L32" s="149">
        <v>3309.4047000000005</v>
      </c>
      <c r="M32" s="145" t="s">
        <v>1517</v>
      </c>
      <c r="N32" s="149">
        <v>637058.27007870004</v>
      </c>
      <c r="O32" s="145" t="s">
        <v>1518</v>
      </c>
    </row>
    <row r="33" spans="1:15" ht="39.6" x14ac:dyDescent="0.25">
      <c r="A33" s="145" t="s">
        <v>805</v>
      </c>
      <c r="B33" s="146" t="s">
        <v>87</v>
      </c>
      <c r="C33" s="146" t="s">
        <v>806</v>
      </c>
      <c r="D33" s="146" t="s">
        <v>395</v>
      </c>
      <c r="E33" s="147" t="s">
        <v>19</v>
      </c>
      <c r="F33" s="145" t="s">
        <v>889</v>
      </c>
      <c r="G33" s="145" t="s">
        <v>27</v>
      </c>
      <c r="H33" s="145" t="s">
        <v>1519</v>
      </c>
      <c r="I33" s="145" t="s">
        <v>27</v>
      </c>
      <c r="J33" s="145" t="s">
        <v>1520</v>
      </c>
      <c r="K33" s="145" t="s">
        <v>27</v>
      </c>
      <c r="L33" s="149">
        <v>3165.6787967999999</v>
      </c>
      <c r="M33" s="145" t="s">
        <v>1521</v>
      </c>
      <c r="N33" s="149">
        <v>640223.94887550001</v>
      </c>
      <c r="O33" s="145" t="s">
        <v>1522</v>
      </c>
    </row>
    <row r="34" spans="1:15" ht="39.6" x14ac:dyDescent="0.25">
      <c r="A34" s="145" t="s">
        <v>903</v>
      </c>
      <c r="B34" s="146" t="s">
        <v>87</v>
      </c>
      <c r="C34" s="146" t="s">
        <v>904</v>
      </c>
      <c r="D34" s="146" t="s">
        <v>853</v>
      </c>
      <c r="E34" s="147" t="s">
        <v>18</v>
      </c>
      <c r="F34" s="145" t="s">
        <v>905</v>
      </c>
      <c r="G34" s="145" t="s">
        <v>27</v>
      </c>
      <c r="H34" s="145" t="s">
        <v>1523</v>
      </c>
      <c r="I34" s="145" t="s">
        <v>27</v>
      </c>
      <c r="J34" s="145" t="s">
        <v>1524</v>
      </c>
      <c r="K34" s="145" t="s">
        <v>27</v>
      </c>
      <c r="L34" s="149">
        <v>3028.4263442669999</v>
      </c>
      <c r="M34" s="145" t="s">
        <v>1525</v>
      </c>
      <c r="N34" s="149">
        <v>643252.37521980004</v>
      </c>
      <c r="O34" s="145" t="s">
        <v>1526</v>
      </c>
    </row>
    <row r="35" spans="1:15" ht="26.4" x14ac:dyDescent="0.25">
      <c r="A35" s="145" t="s">
        <v>708</v>
      </c>
      <c r="B35" s="146" t="s">
        <v>87</v>
      </c>
      <c r="C35" s="146" t="s">
        <v>709</v>
      </c>
      <c r="D35" s="146" t="s">
        <v>395</v>
      </c>
      <c r="E35" s="147" t="s">
        <v>28</v>
      </c>
      <c r="F35" s="145" t="s">
        <v>891</v>
      </c>
      <c r="G35" s="145" t="s">
        <v>27</v>
      </c>
      <c r="H35" s="145" t="s">
        <v>1527</v>
      </c>
      <c r="I35" s="145" t="s">
        <v>27</v>
      </c>
      <c r="J35" s="145" t="s">
        <v>1528</v>
      </c>
      <c r="K35" s="145" t="s">
        <v>27</v>
      </c>
      <c r="L35" s="149">
        <v>3001.8568049999999</v>
      </c>
      <c r="M35" s="145" t="s">
        <v>1525</v>
      </c>
      <c r="N35" s="149">
        <v>646254.23202480003</v>
      </c>
      <c r="O35" s="145" t="s">
        <v>1529</v>
      </c>
    </row>
    <row r="36" spans="1:15" x14ac:dyDescent="0.25">
      <c r="A36" s="145" t="s">
        <v>893</v>
      </c>
      <c r="B36" s="146" t="s">
        <v>87</v>
      </c>
      <c r="C36" s="146" t="s">
        <v>894</v>
      </c>
      <c r="D36" s="146" t="s">
        <v>389</v>
      </c>
      <c r="E36" s="147" t="s">
        <v>490</v>
      </c>
      <c r="F36" s="145" t="s">
        <v>1530</v>
      </c>
      <c r="G36" s="145" t="s">
        <v>27</v>
      </c>
      <c r="H36" s="145" t="s">
        <v>1531</v>
      </c>
      <c r="I36" s="145" t="s">
        <v>27</v>
      </c>
      <c r="J36" s="145" t="s">
        <v>1532</v>
      </c>
      <c r="K36" s="145" t="s">
        <v>27</v>
      </c>
      <c r="L36" s="149">
        <v>2911.277200172</v>
      </c>
      <c r="M36" s="145" t="s">
        <v>895</v>
      </c>
      <c r="N36" s="149">
        <v>649165.50922500005</v>
      </c>
      <c r="O36" s="145" t="s">
        <v>1533</v>
      </c>
    </row>
    <row r="37" spans="1:15" x14ac:dyDescent="0.25">
      <c r="A37" s="145" t="s">
        <v>706</v>
      </c>
      <c r="B37" s="146" t="s">
        <v>87</v>
      </c>
      <c r="C37" s="146" t="s">
        <v>707</v>
      </c>
      <c r="D37" s="146" t="s">
        <v>395</v>
      </c>
      <c r="E37" s="147" t="s">
        <v>28</v>
      </c>
      <c r="F37" s="145" t="s">
        <v>896</v>
      </c>
      <c r="G37" s="145" t="s">
        <v>27</v>
      </c>
      <c r="H37" s="145" t="s">
        <v>1534</v>
      </c>
      <c r="I37" s="145" t="s">
        <v>27</v>
      </c>
      <c r="J37" s="145" t="s">
        <v>1535</v>
      </c>
      <c r="K37" s="145" t="s">
        <v>27</v>
      </c>
      <c r="L37" s="149">
        <v>2328.5710140000001</v>
      </c>
      <c r="M37" s="145" t="s">
        <v>906</v>
      </c>
      <c r="N37" s="149">
        <v>651494.08023900003</v>
      </c>
      <c r="O37" s="145" t="s">
        <v>902</v>
      </c>
    </row>
    <row r="38" spans="1:15" ht="39.6" x14ac:dyDescent="0.25">
      <c r="A38" s="145" t="s">
        <v>899</v>
      </c>
      <c r="B38" s="146" t="s">
        <v>87</v>
      </c>
      <c r="C38" s="146" t="s">
        <v>900</v>
      </c>
      <c r="D38" s="146" t="s">
        <v>853</v>
      </c>
      <c r="E38" s="147" t="s">
        <v>18</v>
      </c>
      <c r="F38" s="145" t="s">
        <v>901</v>
      </c>
      <c r="G38" s="145" t="s">
        <v>27</v>
      </c>
      <c r="H38" s="145" t="s">
        <v>1536</v>
      </c>
      <c r="I38" s="145" t="s">
        <v>27</v>
      </c>
      <c r="J38" s="145" t="s">
        <v>1537</v>
      </c>
      <c r="K38" s="145" t="s">
        <v>27</v>
      </c>
      <c r="L38" s="149">
        <v>2245.4936250000001</v>
      </c>
      <c r="M38" s="145" t="s">
        <v>910</v>
      </c>
      <c r="N38" s="149">
        <v>653739.57386400003</v>
      </c>
      <c r="O38" s="145" t="s">
        <v>1538</v>
      </c>
    </row>
    <row r="39" spans="1:15" ht="26.4" x14ac:dyDescent="0.25">
      <c r="A39" s="145" t="s">
        <v>675</v>
      </c>
      <c r="B39" s="146" t="s">
        <v>87</v>
      </c>
      <c r="C39" s="146" t="s">
        <v>676</v>
      </c>
      <c r="D39" s="146" t="s">
        <v>395</v>
      </c>
      <c r="E39" s="147" t="s">
        <v>19</v>
      </c>
      <c r="F39" s="145" t="s">
        <v>911</v>
      </c>
      <c r="G39" s="145" t="s">
        <v>27</v>
      </c>
      <c r="H39" s="145" t="s">
        <v>1539</v>
      </c>
      <c r="I39" s="145" t="s">
        <v>27</v>
      </c>
      <c r="J39" s="145" t="s">
        <v>1540</v>
      </c>
      <c r="K39" s="145" t="s">
        <v>27</v>
      </c>
      <c r="L39" s="149">
        <v>2122.125368</v>
      </c>
      <c r="M39" s="145" t="s">
        <v>1541</v>
      </c>
      <c r="N39" s="149">
        <v>655861.69923200004</v>
      </c>
      <c r="O39" s="145" t="s">
        <v>1542</v>
      </c>
    </row>
    <row r="40" spans="1:15" x14ac:dyDescent="0.25">
      <c r="A40" s="145" t="s">
        <v>907</v>
      </c>
      <c r="B40" s="146" t="s">
        <v>87</v>
      </c>
      <c r="C40" s="146" t="s">
        <v>908</v>
      </c>
      <c r="D40" s="146" t="s">
        <v>909</v>
      </c>
      <c r="E40" s="147" t="s">
        <v>490</v>
      </c>
      <c r="F40" s="145" t="s">
        <v>1466</v>
      </c>
      <c r="G40" s="145" t="s">
        <v>27</v>
      </c>
      <c r="H40" s="145" t="s">
        <v>1132</v>
      </c>
      <c r="I40" s="145" t="s">
        <v>27</v>
      </c>
      <c r="J40" s="145" t="s">
        <v>1543</v>
      </c>
      <c r="K40" s="145" t="s">
        <v>27</v>
      </c>
      <c r="L40" s="149">
        <v>2024.8393398200001</v>
      </c>
      <c r="M40" s="145" t="s">
        <v>912</v>
      </c>
      <c r="N40" s="149">
        <v>657886.53857179999</v>
      </c>
      <c r="O40" s="145" t="s">
        <v>1544</v>
      </c>
    </row>
    <row r="41" spans="1:15" ht="26.4" x14ac:dyDescent="0.25">
      <c r="A41" s="145" t="s">
        <v>774</v>
      </c>
      <c r="B41" s="146" t="s">
        <v>87</v>
      </c>
      <c r="C41" s="146" t="s">
        <v>775</v>
      </c>
      <c r="D41" s="146" t="s">
        <v>395</v>
      </c>
      <c r="E41" s="147" t="s">
        <v>28</v>
      </c>
      <c r="F41" s="145" t="s">
        <v>913</v>
      </c>
      <c r="G41" s="145" t="s">
        <v>27</v>
      </c>
      <c r="H41" s="145" t="s">
        <v>1545</v>
      </c>
      <c r="I41" s="145" t="s">
        <v>27</v>
      </c>
      <c r="J41" s="145" t="s">
        <v>1546</v>
      </c>
      <c r="K41" s="145" t="s">
        <v>27</v>
      </c>
      <c r="L41" s="149">
        <v>2003.4</v>
      </c>
      <c r="M41" s="145" t="s">
        <v>914</v>
      </c>
      <c r="N41" s="149">
        <v>659889.93857180001</v>
      </c>
      <c r="O41" s="145" t="s">
        <v>1547</v>
      </c>
    </row>
    <row r="42" spans="1:15" x14ac:dyDescent="0.25">
      <c r="A42" s="145" t="s">
        <v>915</v>
      </c>
      <c r="B42" s="146" t="s">
        <v>87</v>
      </c>
      <c r="C42" s="146" t="s">
        <v>916</v>
      </c>
      <c r="D42" s="146" t="s">
        <v>389</v>
      </c>
      <c r="E42" s="147" t="s">
        <v>490</v>
      </c>
      <c r="F42" s="145" t="s">
        <v>1548</v>
      </c>
      <c r="G42" s="145" t="s">
        <v>27</v>
      </c>
      <c r="H42" s="145" t="s">
        <v>1454</v>
      </c>
      <c r="I42" s="145" t="s">
        <v>27</v>
      </c>
      <c r="J42" s="145" t="s">
        <v>1549</v>
      </c>
      <c r="K42" s="145" t="s">
        <v>27</v>
      </c>
      <c r="L42" s="149">
        <v>1842.046066011</v>
      </c>
      <c r="M42" s="145" t="s">
        <v>917</v>
      </c>
      <c r="N42" s="149">
        <v>661731.98463780002</v>
      </c>
      <c r="O42" s="145" t="s">
        <v>1550</v>
      </c>
    </row>
    <row r="43" spans="1:15" x14ac:dyDescent="0.25">
      <c r="A43" s="145" t="s">
        <v>918</v>
      </c>
      <c r="B43" s="146" t="s">
        <v>87</v>
      </c>
      <c r="C43" s="146" t="s">
        <v>919</v>
      </c>
      <c r="D43" s="146" t="s">
        <v>389</v>
      </c>
      <c r="E43" s="147" t="s">
        <v>490</v>
      </c>
      <c r="F43" s="145" t="s">
        <v>1551</v>
      </c>
      <c r="G43" s="145" t="s">
        <v>27</v>
      </c>
      <c r="H43" s="145" t="s">
        <v>1266</v>
      </c>
      <c r="I43" s="145" t="s">
        <v>27</v>
      </c>
      <c r="J43" s="145" t="s">
        <v>1552</v>
      </c>
      <c r="K43" s="145" t="s">
        <v>27</v>
      </c>
      <c r="L43" s="149">
        <v>1774.679148837</v>
      </c>
      <c r="M43" s="145" t="s">
        <v>920</v>
      </c>
      <c r="N43" s="149">
        <v>663506.66378659999</v>
      </c>
      <c r="O43" s="145" t="s">
        <v>1553</v>
      </c>
    </row>
    <row r="44" spans="1:15" x14ac:dyDescent="0.25">
      <c r="A44" s="145" t="s">
        <v>921</v>
      </c>
      <c r="B44" s="146" t="s">
        <v>87</v>
      </c>
      <c r="C44" s="146" t="s">
        <v>922</v>
      </c>
      <c r="D44" s="146" t="s">
        <v>389</v>
      </c>
      <c r="E44" s="147" t="s">
        <v>490</v>
      </c>
      <c r="F44" s="145" t="s">
        <v>1554</v>
      </c>
      <c r="G44" s="145" t="s">
        <v>27</v>
      </c>
      <c r="H44" s="145" t="s">
        <v>1555</v>
      </c>
      <c r="I44" s="145" t="s">
        <v>27</v>
      </c>
      <c r="J44" s="145" t="s">
        <v>1556</v>
      </c>
      <c r="K44" s="145" t="s">
        <v>27</v>
      </c>
      <c r="L44" s="149">
        <v>1669.8717722639999</v>
      </c>
      <c r="M44" s="145" t="s">
        <v>923</v>
      </c>
      <c r="N44" s="149">
        <v>665176.53555889998</v>
      </c>
      <c r="O44" s="145" t="s">
        <v>1557</v>
      </c>
    </row>
    <row r="45" spans="1:15" ht="39.6" x14ac:dyDescent="0.25">
      <c r="A45" s="145" t="s">
        <v>930</v>
      </c>
      <c r="B45" s="146" t="s">
        <v>87</v>
      </c>
      <c r="C45" s="146" t="s">
        <v>931</v>
      </c>
      <c r="D45" s="146" t="s">
        <v>853</v>
      </c>
      <c r="E45" s="147" t="s">
        <v>18</v>
      </c>
      <c r="F45" s="145" t="s">
        <v>932</v>
      </c>
      <c r="G45" s="145" t="s">
        <v>27</v>
      </c>
      <c r="H45" s="145" t="s">
        <v>1558</v>
      </c>
      <c r="I45" s="145" t="s">
        <v>27</v>
      </c>
      <c r="J45" s="145" t="s">
        <v>1559</v>
      </c>
      <c r="K45" s="145" t="s">
        <v>27</v>
      </c>
      <c r="L45" s="149">
        <v>1657.5612278399999</v>
      </c>
      <c r="M45" s="145" t="s">
        <v>923</v>
      </c>
      <c r="N45" s="149">
        <v>666834.09678669996</v>
      </c>
      <c r="O45" s="145" t="s">
        <v>1560</v>
      </c>
    </row>
    <row r="46" spans="1:15" ht="26.4" x14ac:dyDescent="0.25">
      <c r="A46" s="145" t="s">
        <v>925</v>
      </c>
      <c r="B46" s="146" t="s">
        <v>87</v>
      </c>
      <c r="C46" s="146" t="s">
        <v>926</v>
      </c>
      <c r="D46" s="146" t="s">
        <v>853</v>
      </c>
      <c r="E46" s="147" t="s">
        <v>18</v>
      </c>
      <c r="F46" s="145" t="s">
        <v>927</v>
      </c>
      <c r="G46" s="145" t="s">
        <v>27</v>
      </c>
      <c r="H46" s="145" t="s">
        <v>1561</v>
      </c>
      <c r="I46" s="145" t="s">
        <v>27</v>
      </c>
      <c r="J46" s="145" t="s">
        <v>1562</v>
      </c>
      <c r="K46" s="145" t="s">
        <v>27</v>
      </c>
      <c r="L46" s="149">
        <v>1641.4192872000001</v>
      </c>
      <c r="M46" s="145" t="s">
        <v>928</v>
      </c>
      <c r="N46" s="149">
        <v>668475.51607390004</v>
      </c>
      <c r="O46" s="145" t="s">
        <v>1563</v>
      </c>
    </row>
    <row r="47" spans="1:15" ht="39.6" x14ac:dyDescent="0.25">
      <c r="A47" s="145" t="s">
        <v>601</v>
      </c>
      <c r="B47" s="146" t="s">
        <v>1373</v>
      </c>
      <c r="C47" s="146" t="s">
        <v>602</v>
      </c>
      <c r="D47" s="146" t="s">
        <v>395</v>
      </c>
      <c r="E47" s="147" t="s">
        <v>390</v>
      </c>
      <c r="F47" s="145" t="s">
        <v>924</v>
      </c>
      <c r="G47" s="145" t="s">
        <v>27</v>
      </c>
      <c r="H47" s="145" t="s">
        <v>1564</v>
      </c>
      <c r="I47" s="145" t="s">
        <v>27</v>
      </c>
      <c r="J47" s="145" t="s">
        <v>1565</v>
      </c>
      <c r="K47" s="145" t="s">
        <v>27</v>
      </c>
      <c r="L47" s="149">
        <v>1610.2962875999999</v>
      </c>
      <c r="M47" s="145" t="s">
        <v>928</v>
      </c>
      <c r="N47" s="149">
        <v>670085.81236149999</v>
      </c>
      <c r="O47" s="145" t="s">
        <v>1566</v>
      </c>
    </row>
    <row r="48" spans="1:15" ht="39.6" x14ac:dyDescent="0.25">
      <c r="A48" s="145" t="s">
        <v>736</v>
      </c>
      <c r="B48" s="146" t="s">
        <v>87</v>
      </c>
      <c r="C48" s="146" t="s">
        <v>737</v>
      </c>
      <c r="D48" s="146" t="s">
        <v>395</v>
      </c>
      <c r="E48" s="147" t="s">
        <v>28</v>
      </c>
      <c r="F48" s="145" t="s">
        <v>929</v>
      </c>
      <c r="G48" s="145" t="s">
        <v>27</v>
      </c>
      <c r="H48" s="145" t="s">
        <v>1567</v>
      </c>
      <c r="I48" s="145" t="s">
        <v>27</v>
      </c>
      <c r="J48" s="145" t="s">
        <v>1568</v>
      </c>
      <c r="K48" s="145" t="s">
        <v>27</v>
      </c>
      <c r="L48" s="149">
        <v>1609.356</v>
      </c>
      <c r="M48" s="145" t="s">
        <v>928</v>
      </c>
      <c r="N48" s="149">
        <v>671695.16836150002</v>
      </c>
      <c r="O48" s="145" t="s">
        <v>933</v>
      </c>
    </row>
    <row r="49" spans="1:15" x14ac:dyDescent="0.25">
      <c r="A49" s="145" t="s">
        <v>549</v>
      </c>
      <c r="B49" s="146" t="s">
        <v>90</v>
      </c>
      <c r="C49" s="146" t="s">
        <v>550</v>
      </c>
      <c r="D49" s="146" t="s">
        <v>389</v>
      </c>
      <c r="E49" s="147" t="s">
        <v>490</v>
      </c>
      <c r="F49" s="145" t="s">
        <v>934</v>
      </c>
      <c r="G49" s="145" t="s">
        <v>27</v>
      </c>
      <c r="H49" s="145" t="s">
        <v>1569</v>
      </c>
      <c r="I49" s="145" t="s">
        <v>27</v>
      </c>
      <c r="J49" s="145" t="s">
        <v>1570</v>
      </c>
      <c r="K49" s="145" t="s">
        <v>27</v>
      </c>
      <c r="L49" s="149">
        <v>1479.7728</v>
      </c>
      <c r="M49" s="145" t="s">
        <v>935</v>
      </c>
      <c r="N49" s="149">
        <v>673174.94116150006</v>
      </c>
      <c r="O49" s="145" t="s">
        <v>936</v>
      </c>
    </row>
    <row r="50" spans="1:15" ht="39.6" x14ac:dyDescent="0.25">
      <c r="A50" s="145" t="s">
        <v>764</v>
      </c>
      <c r="B50" s="146" t="s">
        <v>1373</v>
      </c>
      <c r="C50" s="146" t="s">
        <v>765</v>
      </c>
      <c r="D50" s="146" t="s">
        <v>395</v>
      </c>
      <c r="E50" s="147" t="s">
        <v>490</v>
      </c>
      <c r="F50" s="145" t="s">
        <v>937</v>
      </c>
      <c r="G50" s="145" t="s">
        <v>27</v>
      </c>
      <c r="H50" s="145" t="s">
        <v>1571</v>
      </c>
      <c r="I50" s="145" t="s">
        <v>27</v>
      </c>
      <c r="J50" s="145" t="s">
        <v>1572</v>
      </c>
      <c r="K50" s="145" t="s">
        <v>27</v>
      </c>
      <c r="L50" s="149">
        <v>1445.0715</v>
      </c>
      <c r="M50" s="145" t="s">
        <v>935</v>
      </c>
      <c r="N50" s="149">
        <v>674620.01266150002</v>
      </c>
      <c r="O50" s="145" t="s">
        <v>1573</v>
      </c>
    </row>
    <row r="51" spans="1:15" x14ac:dyDescent="0.25">
      <c r="A51" s="145" t="s">
        <v>547</v>
      </c>
      <c r="B51" s="146" t="s">
        <v>90</v>
      </c>
      <c r="C51" s="146" t="s">
        <v>548</v>
      </c>
      <c r="D51" s="146" t="s">
        <v>389</v>
      </c>
      <c r="E51" s="147" t="s">
        <v>490</v>
      </c>
      <c r="F51" s="145" t="s">
        <v>938</v>
      </c>
      <c r="G51" s="145" t="s">
        <v>27</v>
      </c>
      <c r="H51" s="145" t="s">
        <v>1574</v>
      </c>
      <c r="I51" s="145" t="s">
        <v>27</v>
      </c>
      <c r="J51" s="145" t="s">
        <v>1575</v>
      </c>
      <c r="K51" s="145" t="s">
        <v>27</v>
      </c>
      <c r="L51" s="149">
        <v>1440.7308</v>
      </c>
      <c r="M51" s="145" t="s">
        <v>935</v>
      </c>
      <c r="N51" s="149">
        <v>676060.74346150004</v>
      </c>
      <c r="O51" s="145" t="s">
        <v>1576</v>
      </c>
    </row>
    <row r="52" spans="1:15" ht="26.4" x14ac:dyDescent="0.25">
      <c r="A52" s="145" t="s">
        <v>570</v>
      </c>
      <c r="B52" s="146" t="s">
        <v>128</v>
      </c>
      <c r="C52" s="146" t="s">
        <v>571</v>
      </c>
      <c r="D52" s="146" t="s">
        <v>389</v>
      </c>
      <c r="E52" s="147" t="s">
        <v>490</v>
      </c>
      <c r="F52" s="145" t="s">
        <v>841</v>
      </c>
      <c r="G52" s="145" t="s">
        <v>27</v>
      </c>
      <c r="H52" s="145" t="s">
        <v>1577</v>
      </c>
      <c r="I52" s="145" t="s">
        <v>27</v>
      </c>
      <c r="J52" s="145" t="s">
        <v>1578</v>
      </c>
      <c r="K52" s="145" t="s">
        <v>27</v>
      </c>
      <c r="L52" s="149">
        <v>1428.7</v>
      </c>
      <c r="M52" s="145" t="s">
        <v>935</v>
      </c>
      <c r="N52" s="149">
        <v>677489.44346149999</v>
      </c>
      <c r="O52" s="145" t="s">
        <v>1579</v>
      </c>
    </row>
    <row r="53" spans="1:15" ht="26.4" x14ac:dyDescent="0.25">
      <c r="A53" s="145" t="s">
        <v>944</v>
      </c>
      <c r="B53" s="146" t="s">
        <v>87</v>
      </c>
      <c r="C53" s="146" t="s">
        <v>945</v>
      </c>
      <c r="D53" s="146" t="s">
        <v>853</v>
      </c>
      <c r="E53" s="147" t="s">
        <v>18</v>
      </c>
      <c r="F53" s="145" t="s">
        <v>946</v>
      </c>
      <c r="G53" s="145" t="s">
        <v>27</v>
      </c>
      <c r="H53" s="145" t="s">
        <v>1580</v>
      </c>
      <c r="I53" s="145" t="s">
        <v>27</v>
      </c>
      <c r="J53" s="145" t="s">
        <v>1581</v>
      </c>
      <c r="K53" s="145" t="s">
        <v>27</v>
      </c>
      <c r="L53" s="149">
        <v>1407.6733533239999</v>
      </c>
      <c r="M53" s="145" t="s">
        <v>947</v>
      </c>
      <c r="N53" s="149">
        <v>678897.11681479996</v>
      </c>
      <c r="O53" s="145" t="s">
        <v>1582</v>
      </c>
    </row>
    <row r="54" spans="1:15" ht="39.6" x14ac:dyDescent="0.25">
      <c r="A54" s="145" t="s">
        <v>941</v>
      </c>
      <c r="B54" s="146" t="s">
        <v>87</v>
      </c>
      <c r="C54" s="146" t="s">
        <v>942</v>
      </c>
      <c r="D54" s="146" t="s">
        <v>853</v>
      </c>
      <c r="E54" s="147" t="s">
        <v>18</v>
      </c>
      <c r="F54" s="145" t="s">
        <v>943</v>
      </c>
      <c r="G54" s="145" t="s">
        <v>27</v>
      </c>
      <c r="H54" s="145" t="s">
        <v>1583</v>
      </c>
      <c r="I54" s="145" t="s">
        <v>27</v>
      </c>
      <c r="J54" s="145" t="s">
        <v>1584</v>
      </c>
      <c r="K54" s="145" t="s">
        <v>27</v>
      </c>
      <c r="L54" s="149">
        <v>1368.19722</v>
      </c>
      <c r="M54" s="145" t="s">
        <v>947</v>
      </c>
      <c r="N54" s="149">
        <v>680265.31403480005</v>
      </c>
      <c r="O54" s="145" t="s">
        <v>1585</v>
      </c>
    </row>
    <row r="55" spans="1:15" ht="26.4" x14ac:dyDescent="0.25">
      <c r="A55" s="145" t="s">
        <v>963</v>
      </c>
      <c r="B55" s="146" t="s">
        <v>87</v>
      </c>
      <c r="C55" s="146" t="s">
        <v>964</v>
      </c>
      <c r="D55" s="146" t="s">
        <v>853</v>
      </c>
      <c r="E55" s="147" t="s">
        <v>490</v>
      </c>
      <c r="F55" s="145" t="s">
        <v>1586</v>
      </c>
      <c r="G55" s="145" t="s">
        <v>27</v>
      </c>
      <c r="H55" s="145" t="s">
        <v>1587</v>
      </c>
      <c r="I55" s="145" t="s">
        <v>27</v>
      </c>
      <c r="J55" s="145" t="s">
        <v>1588</v>
      </c>
      <c r="K55" s="145" t="s">
        <v>27</v>
      </c>
      <c r="L55" s="149">
        <v>1321.291087823</v>
      </c>
      <c r="M55" s="145" t="s">
        <v>951</v>
      </c>
      <c r="N55" s="149">
        <v>681586.60512259998</v>
      </c>
      <c r="O55" s="145" t="s">
        <v>1589</v>
      </c>
    </row>
    <row r="56" spans="1:15" ht="26.4" x14ac:dyDescent="0.25">
      <c r="A56" s="145" t="s">
        <v>729</v>
      </c>
      <c r="B56" s="146" t="s">
        <v>87</v>
      </c>
      <c r="C56" s="146" t="s">
        <v>730</v>
      </c>
      <c r="D56" s="146" t="s">
        <v>395</v>
      </c>
      <c r="E56" s="147" t="s">
        <v>13</v>
      </c>
      <c r="F56" s="145" t="s">
        <v>952</v>
      </c>
      <c r="G56" s="145" t="s">
        <v>27</v>
      </c>
      <c r="H56" s="145" t="s">
        <v>953</v>
      </c>
      <c r="I56" s="145" t="s">
        <v>27</v>
      </c>
      <c r="J56" s="145" t="s">
        <v>954</v>
      </c>
      <c r="K56" s="145" t="s">
        <v>27</v>
      </c>
      <c r="L56" s="149">
        <v>1312.6801651200001</v>
      </c>
      <c r="M56" s="145" t="s">
        <v>951</v>
      </c>
      <c r="N56" s="149">
        <v>682899.28528770001</v>
      </c>
      <c r="O56" s="145" t="s">
        <v>1590</v>
      </c>
    </row>
    <row r="57" spans="1:15" x14ac:dyDescent="0.25">
      <c r="A57" s="145" t="s">
        <v>956</v>
      </c>
      <c r="B57" s="146" t="s">
        <v>87</v>
      </c>
      <c r="C57" s="146" t="s">
        <v>957</v>
      </c>
      <c r="D57" s="146" t="s">
        <v>395</v>
      </c>
      <c r="E57" s="147" t="s">
        <v>18</v>
      </c>
      <c r="F57" s="145" t="s">
        <v>958</v>
      </c>
      <c r="G57" s="145" t="s">
        <v>27</v>
      </c>
      <c r="H57" s="145" t="s">
        <v>1591</v>
      </c>
      <c r="I57" s="145" t="s">
        <v>27</v>
      </c>
      <c r="J57" s="145" t="s">
        <v>1592</v>
      </c>
      <c r="K57" s="145" t="s">
        <v>27</v>
      </c>
      <c r="L57" s="149">
        <v>1301.3529255999999</v>
      </c>
      <c r="M57" s="145" t="s">
        <v>951</v>
      </c>
      <c r="N57" s="149">
        <v>684200.63821330003</v>
      </c>
      <c r="O57" s="145" t="s">
        <v>1593</v>
      </c>
    </row>
    <row r="58" spans="1:15" ht="26.4" x14ac:dyDescent="0.25">
      <c r="A58" s="145" t="s">
        <v>948</v>
      </c>
      <c r="B58" s="146" t="s">
        <v>87</v>
      </c>
      <c r="C58" s="146" t="s">
        <v>949</v>
      </c>
      <c r="D58" s="146" t="s">
        <v>853</v>
      </c>
      <c r="E58" s="147" t="s">
        <v>18</v>
      </c>
      <c r="F58" s="145" t="s">
        <v>950</v>
      </c>
      <c r="G58" s="145" t="s">
        <v>27</v>
      </c>
      <c r="H58" s="145" t="s">
        <v>1594</v>
      </c>
      <c r="I58" s="145" t="s">
        <v>27</v>
      </c>
      <c r="J58" s="145" t="s">
        <v>1595</v>
      </c>
      <c r="K58" s="145" t="s">
        <v>27</v>
      </c>
      <c r="L58" s="149">
        <v>1290.44986137</v>
      </c>
      <c r="M58" s="145" t="s">
        <v>951</v>
      </c>
      <c r="N58" s="149">
        <v>685491.08807469998</v>
      </c>
      <c r="O58" s="145" t="s">
        <v>1596</v>
      </c>
    </row>
    <row r="59" spans="1:15" x14ac:dyDescent="0.25">
      <c r="A59" s="145" t="s">
        <v>939</v>
      </c>
      <c r="B59" s="146" t="s">
        <v>87</v>
      </c>
      <c r="C59" s="146" t="s">
        <v>940</v>
      </c>
      <c r="D59" s="146" t="s">
        <v>389</v>
      </c>
      <c r="E59" s="147" t="s">
        <v>490</v>
      </c>
      <c r="F59" s="145" t="s">
        <v>1597</v>
      </c>
      <c r="G59" s="145" t="s">
        <v>27</v>
      </c>
      <c r="H59" s="145" t="s">
        <v>1598</v>
      </c>
      <c r="I59" s="145" t="s">
        <v>27</v>
      </c>
      <c r="J59" s="145" t="s">
        <v>1599</v>
      </c>
      <c r="K59" s="145" t="s">
        <v>27</v>
      </c>
      <c r="L59" s="149">
        <v>1285.369023856</v>
      </c>
      <c r="M59" s="145" t="s">
        <v>951</v>
      </c>
      <c r="N59" s="149">
        <v>686776.45709859999</v>
      </c>
      <c r="O59" s="145" t="s">
        <v>1600</v>
      </c>
    </row>
    <row r="60" spans="1:15" ht="26.4" x14ac:dyDescent="0.25">
      <c r="A60" s="145" t="s">
        <v>960</v>
      </c>
      <c r="B60" s="146" t="s">
        <v>87</v>
      </c>
      <c r="C60" s="146" t="s">
        <v>961</v>
      </c>
      <c r="D60" s="146" t="s">
        <v>395</v>
      </c>
      <c r="E60" s="147" t="s">
        <v>18</v>
      </c>
      <c r="F60" s="145" t="s">
        <v>962</v>
      </c>
      <c r="G60" s="145" t="s">
        <v>27</v>
      </c>
      <c r="H60" s="145" t="s">
        <v>1601</v>
      </c>
      <c r="I60" s="145" t="s">
        <v>27</v>
      </c>
      <c r="J60" s="145" t="s">
        <v>1602</v>
      </c>
      <c r="K60" s="145" t="s">
        <v>27</v>
      </c>
      <c r="L60" s="149">
        <v>1264.69146679</v>
      </c>
      <c r="M60" s="145" t="s">
        <v>959</v>
      </c>
      <c r="N60" s="149">
        <v>688041.14856540004</v>
      </c>
      <c r="O60" s="145" t="s">
        <v>1603</v>
      </c>
    </row>
    <row r="61" spans="1:15" ht="26.4" x14ac:dyDescent="0.25">
      <c r="A61" s="145" t="s">
        <v>829</v>
      </c>
      <c r="B61" s="146" t="s">
        <v>87</v>
      </c>
      <c r="C61" s="146" t="s">
        <v>830</v>
      </c>
      <c r="D61" s="146" t="s">
        <v>395</v>
      </c>
      <c r="E61" s="147" t="s">
        <v>19</v>
      </c>
      <c r="F61" s="145" t="s">
        <v>955</v>
      </c>
      <c r="G61" s="145" t="s">
        <v>27</v>
      </c>
      <c r="H61" s="145" t="s">
        <v>1604</v>
      </c>
      <c r="I61" s="145" t="s">
        <v>27</v>
      </c>
      <c r="J61" s="145" t="s">
        <v>1605</v>
      </c>
      <c r="K61" s="145" t="s">
        <v>27</v>
      </c>
      <c r="L61" s="149">
        <v>1254</v>
      </c>
      <c r="M61" s="145" t="s">
        <v>959</v>
      </c>
      <c r="N61" s="149">
        <v>689295.14856540004</v>
      </c>
      <c r="O61" s="145" t="s">
        <v>1409</v>
      </c>
    </row>
    <row r="62" spans="1:15" ht="39.6" x14ac:dyDescent="0.25">
      <c r="A62" s="145" t="s">
        <v>972</v>
      </c>
      <c r="B62" s="146" t="s">
        <v>87</v>
      </c>
      <c r="C62" s="146" t="s">
        <v>973</v>
      </c>
      <c r="D62" s="146" t="s">
        <v>853</v>
      </c>
      <c r="E62" s="147" t="s">
        <v>18</v>
      </c>
      <c r="F62" s="145" t="s">
        <v>974</v>
      </c>
      <c r="G62" s="145" t="s">
        <v>27</v>
      </c>
      <c r="H62" s="145" t="s">
        <v>1606</v>
      </c>
      <c r="I62" s="145" t="s">
        <v>27</v>
      </c>
      <c r="J62" s="145" t="s">
        <v>1607</v>
      </c>
      <c r="K62" s="145" t="s">
        <v>27</v>
      </c>
      <c r="L62" s="149">
        <v>1120.4116135199999</v>
      </c>
      <c r="M62" s="145" t="s">
        <v>968</v>
      </c>
      <c r="N62" s="149">
        <v>690415.56017890002</v>
      </c>
      <c r="O62" s="145" t="s">
        <v>1608</v>
      </c>
    </row>
    <row r="63" spans="1:15" x14ac:dyDescent="0.25">
      <c r="A63" s="145" t="s">
        <v>966</v>
      </c>
      <c r="B63" s="146" t="s">
        <v>87</v>
      </c>
      <c r="C63" s="146" t="s">
        <v>967</v>
      </c>
      <c r="D63" s="146" t="s">
        <v>389</v>
      </c>
      <c r="E63" s="147" t="s">
        <v>490</v>
      </c>
      <c r="F63" s="145" t="s">
        <v>1609</v>
      </c>
      <c r="G63" s="145" t="s">
        <v>27</v>
      </c>
      <c r="H63" s="145" t="s">
        <v>1610</v>
      </c>
      <c r="I63" s="145" t="s">
        <v>27</v>
      </c>
      <c r="J63" s="145" t="s">
        <v>1611</v>
      </c>
      <c r="K63" s="145" t="s">
        <v>27</v>
      </c>
      <c r="L63" s="149">
        <v>1071.811651856</v>
      </c>
      <c r="M63" s="145" t="s">
        <v>968</v>
      </c>
      <c r="N63" s="149">
        <v>691487.37183079997</v>
      </c>
      <c r="O63" s="145" t="s">
        <v>1612</v>
      </c>
    </row>
    <row r="64" spans="1:15" x14ac:dyDescent="0.25">
      <c r="A64" s="145" t="s">
        <v>744</v>
      </c>
      <c r="B64" s="146" t="s">
        <v>87</v>
      </c>
      <c r="C64" s="146" t="s">
        <v>745</v>
      </c>
      <c r="D64" s="146" t="s">
        <v>395</v>
      </c>
      <c r="E64" s="147" t="s">
        <v>30</v>
      </c>
      <c r="F64" s="145" t="s">
        <v>1613</v>
      </c>
      <c r="G64" s="145" t="s">
        <v>27</v>
      </c>
      <c r="H64" s="145" t="s">
        <v>1614</v>
      </c>
      <c r="I64" s="145" t="s">
        <v>27</v>
      </c>
      <c r="J64" s="145" t="s">
        <v>1615</v>
      </c>
      <c r="K64" s="145" t="s">
        <v>27</v>
      </c>
      <c r="L64" s="149">
        <v>1067.8547446770001</v>
      </c>
      <c r="M64" s="145" t="s">
        <v>968</v>
      </c>
      <c r="N64" s="149">
        <v>692555.22657549998</v>
      </c>
      <c r="O64" s="145" t="s">
        <v>1616</v>
      </c>
    </row>
    <row r="65" spans="1:15" ht="39.6" x14ac:dyDescent="0.25">
      <c r="A65" s="145" t="s">
        <v>712</v>
      </c>
      <c r="B65" s="146" t="s">
        <v>1373</v>
      </c>
      <c r="C65" s="146" t="s">
        <v>713</v>
      </c>
      <c r="D65" s="146" t="s">
        <v>395</v>
      </c>
      <c r="E65" s="147" t="s">
        <v>714</v>
      </c>
      <c r="F65" s="145" t="s">
        <v>982</v>
      </c>
      <c r="G65" s="145" t="s">
        <v>27</v>
      </c>
      <c r="H65" s="145" t="s">
        <v>1617</v>
      </c>
      <c r="I65" s="145" t="s">
        <v>27</v>
      </c>
      <c r="J65" s="145" t="s">
        <v>1618</v>
      </c>
      <c r="K65" s="145" t="s">
        <v>27</v>
      </c>
      <c r="L65" s="149">
        <v>1054.56</v>
      </c>
      <c r="M65" s="145" t="s">
        <v>971</v>
      </c>
      <c r="N65" s="149">
        <v>693609.78657550004</v>
      </c>
      <c r="O65" s="145" t="s">
        <v>1619</v>
      </c>
    </row>
    <row r="66" spans="1:15" ht="39.6" x14ac:dyDescent="0.25">
      <c r="A66" s="52" t="s">
        <v>685</v>
      </c>
      <c r="B66" s="143" t="s">
        <v>1373</v>
      </c>
      <c r="C66" s="143" t="s">
        <v>686</v>
      </c>
      <c r="D66" s="143" t="s">
        <v>395</v>
      </c>
      <c r="E66" s="51" t="s">
        <v>118</v>
      </c>
      <c r="F66" s="52" t="s">
        <v>965</v>
      </c>
      <c r="G66" s="52" t="s">
        <v>27</v>
      </c>
      <c r="H66" s="52" t="s">
        <v>1620</v>
      </c>
      <c r="I66" s="52" t="s">
        <v>27</v>
      </c>
      <c r="J66" s="52" t="s">
        <v>1621</v>
      </c>
      <c r="K66" s="52" t="s">
        <v>27</v>
      </c>
      <c r="L66" s="53">
        <v>1043.91518</v>
      </c>
      <c r="M66" s="52" t="s">
        <v>971</v>
      </c>
      <c r="N66" s="53">
        <v>694653.70175550005</v>
      </c>
      <c r="O66" s="52" t="s">
        <v>1622</v>
      </c>
    </row>
    <row r="67" spans="1:15" ht="26.4" x14ac:dyDescent="0.25">
      <c r="A67" s="52" t="s">
        <v>977</v>
      </c>
      <c r="B67" s="143" t="s">
        <v>87</v>
      </c>
      <c r="C67" s="143" t="s">
        <v>978</v>
      </c>
      <c r="D67" s="143" t="s">
        <v>395</v>
      </c>
      <c r="E67" s="51" t="s">
        <v>19</v>
      </c>
      <c r="F67" s="52" t="s">
        <v>979</v>
      </c>
      <c r="G67" s="52" t="s">
        <v>27</v>
      </c>
      <c r="H67" s="52" t="s">
        <v>1623</v>
      </c>
      <c r="I67" s="52" t="s">
        <v>27</v>
      </c>
      <c r="J67" s="52" t="s">
        <v>1624</v>
      </c>
      <c r="K67" s="52" t="s">
        <v>27</v>
      </c>
      <c r="L67" s="53">
        <v>1003.586897092</v>
      </c>
      <c r="M67" s="52" t="s">
        <v>971</v>
      </c>
      <c r="N67" s="53">
        <v>695657.28865260002</v>
      </c>
      <c r="O67" s="52" t="s">
        <v>1625</v>
      </c>
    </row>
    <row r="68" spans="1:15" x14ac:dyDescent="0.25">
      <c r="A68" s="52" t="s">
        <v>980</v>
      </c>
      <c r="B68" s="143" t="s">
        <v>87</v>
      </c>
      <c r="C68" s="143" t="s">
        <v>981</v>
      </c>
      <c r="D68" s="143" t="s">
        <v>389</v>
      </c>
      <c r="E68" s="51" t="s">
        <v>490</v>
      </c>
      <c r="F68" s="52" t="s">
        <v>1626</v>
      </c>
      <c r="G68" s="52" t="s">
        <v>27</v>
      </c>
      <c r="H68" s="52" t="s">
        <v>1627</v>
      </c>
      <c r="I68" s="52" t="s">
        <v>27</v>
      </c>
      <c r="J68" s="52" t="s">
        <v>1628</v>
      </c>
      <c r="K68" s="52" t="s">
        <v>27</v>
      </c>
      <c r="L68" s="53">
        <v>958.58665944500001</v>
      </c>
      <c r="M68" s="52" t="s">
        <v>976</v>
      </c>
      <c r="N68" s="53">
        <v>696615.87531200005</v>
      </c>
      <c r="O68" s="52" t="s">
        <v>1629</v>
      </c>
    </row>
    <row r="69" spans="1:15" ht="26.4" x14ac:dyDescent="0.25">
      <c r="A69" s="52" t="s">
        <v>988</v>
      </c>
      <c r="B69" s="143" t="s">
        <v>87</v>
      </c>
      <c r="C69" s="143" t="s">
        <v>989</v>
      </c>
      <c r="D69" s="143" t="s">
        <v>853</v>
      </c>
      <c r="E69" s="51" t="s">
        <v>490</v>
      </c>
      <c r="F69" s="52" t="s">
        <v>990</v>
      </c>
      <c r="G69" s="52" t="s">
        <v>27</v>
      </c>
      <c r="H69" s="52" t="s">
        <v>1630</v>
      </c>
      <c r="I69" s="52" t="s">
        <v>27</v>
      </c>
      <c r="J69" s="52" t="s">
        <v>1631</v>
      </c>
      <c r="K69" s="52" t="s">
        <v>27</v>
      </c>
      <c r="L69" s="53">
        <v>955.57711418199995</v>
      </c>
      <c r="M69" s="52" t="s">
        <v>976</v>
      </c>
      <c r="N69" s="53">
        <v>697571.45242620003</v>
      </c>
      <c r="O69" s="52" t="s">
        <v>1632</v>
      </c>
    </row>
    <row r="70" spans="1:15" x14ac:dyDescent="0.25">
      <c r="A70" s="52" t="s">
        <v>969</v>
      </c>
      <c r="B70" s="143" t="s">
        <v>87</v>
      </c>
      <c r="C70" s="143" t="s">
        <v>970</v>
      </c>
      <c r="D70" s="143" t="s">
        <v>389</v>
      </c>
      <c r="E70" s="51" t="s">
        <v>490</v>
      </c>
      <c r="F70" s="52" t="s">
        <v>1633</v>
      </c>
      <c r="G70" s="52" t="s">
        <v>27</v>
      </c>
      <c r="H70" s="52" t="s">
        <v>1634</v>
      </c>
      <c r="I70" s="52" t="s">
        <v>27</v>
      </c>
      <c r="J70" s="52" t="s">
        <v>1635</v>
      </c>
      <c r="K70" s="52" t="s">
        <v>27</v>
      </c>
      <c r="L70" s="53">
        <v>943.14833151000005</v>
      </c>
      <c r="M70" s="52" t="s">
        <v>976</v>
      </c>
      <c r="N70" s="53">
        <v>698514.60075770004</v>
      </c>
      <c r="O70" s="52" t="s">
        <v>1636</v>
      </c>
    </row>
    <row r="71" spans="1:15" x14ac:dyDescent="0.25">
      <c r="A71" s="52" t="s">
        <v>983</v>
      </c>
      <c r="B71" s="143" t="s">
        <v>87</v>
      </c>
      <c r="C71" s="143" t="s">
        <v>984</v>
      </c>
      <c r="D71" s="143" t="s">
        <v>395</v>
      </c>
      <c r="E71" s="51" t="s">
        <v>13</v>
      </c>
      <c r="F71" s="52" t="s">
        <v>985</v>
      </c>
      <c r="G71" s="52" t="s">
        <v>27</v>
      </c>
      <c r="H71" s="52" t="s">
        <v>986</v>
      </c>
      <c r="I71" s="52" t="s">
        <v>27</v>
      </c>
      <c r="J71" s="52" t="s">
        <v>987</v>
      </c>
      <c r="K71" s="52" t="s">
        <v>27</v>
      </c>
      <c r="L71" s="53">
        <v>922.00606560000006</v>
      </c>
      <c r="M71" s="52" t="s">
        <v>976</v>
      </c>
      <c r="N71" s="53">
        <v>699436.60682330001</v>
      </c>
      <c r="O71" s="52" t="s">
        <v>1637</v>
      </c>
    </row>
    <row r="72" spans="1:15" x14ac:dyDescent="0.25">
      <c r="A72" s="52" t="s">
        <v>992</v>
      </c>
      <c r="B72" s="143" t="s">
        <v>87</v>
      </c>
      <c r="C72" s="143" t="s">
        <v>993</v>
      </c>
      <c r="D72" s="143" t="s">
        <v>389</v>
      </c>
      <c r="E72" s="51" t="s">
        <v>490</v>
      </c>
      <c r="F72" s="52" t="s">
        <v>1638</v>
      </c>
      <c r="G72" s="52" t="s">
        <v>27</v>
      </c>
      <c r="H72" s="52" t="s">
        <v>1454</v>
      </c>
      <c r="I72" s="52" t="s">
        <v>27</v>
      </c>
      <c r="J72" s="52" t="s">
        <v>1639</v>
      </c>
      <c r="K72" s="52" t="s">
        <v>27</v>
      </c>
      <c r="L72" s="53">
        <v>896.01291678600001</v>
      </c>
      <c r="M72" s="52" t="s">
        <v>991</v>
      </c>
      <c r="N72" s="53">
        <v>700332.6197401</v>
      </c>
      <c r="O72" s="52" t="s">
        <v>1640</v>
      </c>
    </row>
    <row r="73" spans="1:15" ht="39.6" x14ac:dyDescent="0.25">
      <c r="A73" s="52" t="s">
        <v>693</v>
      </c>
      <c r="B73" s="143" t="s">
        <v>1373</v>
      </c>
      <c r="C73" s="143" t="s">
        <v>694</v>
      </c>
      <c r="D73" s="143" t="s">
        <v>395</v>
      </c>
      <c r="E73" s="51" t="s">
        <v>6</v>
      </c>
      <c r="F73" s="52" t="s">
        <v>1002</v>
      </c>
      <c r="G73" s="52" t="s">
        <v>27</v>
      </c>
      <c r="H73" s="52" t="s">
        <v>1641</v>
      </c>
      <c r="I73" s="52" t="s">
        <v>27</v>
      </c>
      <c r="J73" s="52" t="s">
        <v>1642</v>
      </c>
      <c r="K73" s="52" t="s">
        <v>27</v>
      </c>
      <c r="L73" s="53">
        <v>887.67</v>
      </c>
      <c r="M73" s="52" t="s">
        <v>991</v>
      </c>
      <c r="N73" s="53">
        <v>701220.28974010004</v>
      </c>
      <c r="O73" s="52" t="s">
        <v>1643</v>
      </c>
    </row>
    <row r="74" spans="1:15" ht="39.6" x14ac:dyDescent="0.25">
      <c r="A74" s="52" t="s">
        <v>681</v>
      </c>
      <c r="B74" s="143" t="s">
        <v>1373</v>
      </c>
      <c r="C74" s="143" t="s">
        <v>682</v>
      </c>
      <c r="D74" s="143" t="s">
        <v>395</v>
      </c>
      <c r="E74" s="51" t="s">
        <v>118</v>
      </c>
      <c r="F74" s="52" t="s">
        <v>975</v>
      </c>
      <c r="G74" s="52" t="s">
        <v>27</v>
      </c>
      <c r="H74" s="52" t="s">
        <v>1644</v>
      </c>
      <c r="I74" s="52" t="s">
        <v>27</v>
      </c>
      <c r="J74" s="52" t="s">
        <v>1645</v>
      </c>
      <c r="K74" s="52" t="s">
        <v>27</v>
      </c>
      <c r="L74" s="53">
        <v>887.4624</v>
      </c>
      <c r="M74" s="52" t="s">
        <v>991</v>
      </c>
      <c r="N74" s="53">
        <v>702107.7521401</v>
      </c>
      <c r="O74" s="52" t="s">
        <v>1646</v>
      </c>
    </row>
    <row r="75" spans="1:15" ht="39.6" x14ac:dyDescent="0.25">
      <c r="A75" s="52" t="s">
        <v>387</v>
      </c>
      <c r="B75" s="143" t="s">
        <v>1373</v>
      </c>
      <c r="C75" s="143" t="s">
        <v>388</v>
      </c>
      <c r="D75" s="143" t="s">
        <v>389</v>
      </c>
      <c r="E75" s="51" t="s">
        <v>390</v>
      </c>
      <c r="F75" s="52" t="s">
        <v>997</v>
      </c>
      <c r="G75" s="52" t="s">
        <v>27</v>
      </c>
      <c r="H75" s="52" t="s">
        <v>1647</v>
      </c>
      <c r="I75" s="52" t="s">
        <v>27</v>
      </c>
      <c r="J75" s="52" t="s">
        <v>1648</v>
      </c>
      <c r="K75" s="52" t="s">
        <v>27</v>
      </c>
      <c r="L75" s="53">
        <v>885.22860000000003</v>
      </c>
      <c r="M75" s="52" t="s">
        <v>991</v>
      </c>
      <c r="N75" s="53">
        <v>702992.98074010003</v>
      </c>
      <c r="O75" s="52" t="s">
        <v>1649</v>
      </c>
    </row>
    <row r="76" spans="1:15" ht="52.8" x14ac:dyDescent="0.25">
      <c r="A76" s="52" t="s">
        <v>994</v>
      </c>
      <c r="B76" s="143" t="s">
        <v>87</v>
      </c>
      <c r="C76" s="143" t="s">
        <v>995</v>
      </c>
      <c r="D76" s="143" t="s">
        <v>395</v>
      </c>
      <c r="E76" s="51" t="s">
        <v>18</v>
      </c>
      <c r="F76" s="52" t="s">
        <v>996</v>
      </c>
      <c r="G76" s="52" t="s">
        <v>27</v>
      </c>
      <c r="H76" s="52" t="s">
        <v>1650</v>
      </c>
      <c r="I76" s="52" t="s">
        <v>27</v>
      </c>
      <c r="J76" s="52" t="s">
        <v>1651</v>
      </c>
      <c r="K76" s="52" t="s">
        <v>27</v>
      </c>
      <c r="L76" s="53">
        <v>878.497554885</v>
      </c>
      <c r="M76" s="52" t="s">
        <v>991</v>
      </c>
      <c r="N76" s="53">
        <v>703871.47829500004</v>
      </c>
      <c r="O76" s="52" t="s">
        <v>1652</v>
      </c>
    </row>
    <row r="77" spans="1:15" ht="39.6" x14ac:dyDescent="0.25">
      <c r="A77" s="52" t="s">
        <v>697</v>
      </c>
      <c r="B77" s="143" t="s">
        <v>1373</v>
      </c>
      <c r="C77" s="143" t="s">
        <v>698</v>
      </c>
      <c r="D77" s="143" t="s">
        <v>395</v>
      </c>
      <c r="E77" s="51" t="s">
        <v>6</v>
      </c>
      <c r="F77" s="52" t="s">
        <v>998</v>
      </c>
      <c r="G77" s="52" t="s">
        <v>27</v>
      </c>
      <c r="H77" s="52" t="s">
        <v>1653</v>
      </c>
      <c r="I77" s="52" t="s">
        <v>27</v>
      </c>
      <c r="J77" s="52" t="s">
        <v>1654</v>
      </c>
      <c r="K77" s="52" t="s">
        <v>27</v>
      </c>
      <c r="L77" s="53">
        <v>852.01919999999996</v>
      </c>
      <c r="M77" s="52" t="s">
        <v>991</v>
      </c>
      <c r="N77" s="53">
        <v>704723.49749500002</v>
      </c>
      <c r="O77" s="52" t="s">
        <v>1655</v>
      </c>
    </row>
    <row r="78" spans="1:15" x14ac:dyDescent="0.25">
      <c r="A78" s="52" t="s">
        <v>999</v>
      </c>
      <c r="B78" s="143" t="s">
        <v>87</v>
      </c>
      <c r="C78" s="143" t="s">
        <v>1000</v>
      </c>
      <c r="D78" s="143" t="s">
        <v>389</v>
      </c>
      <c r="E78" s="51" t="s">
        <v>490</v>
      </c>
      <c r="F78" s="52" t="s">
        <v>1656</v>
      </c>
      <c r="G78" s="52" t="s">
        <v>27</v>
      </c>
      <c r="H78" s="52" t="s">
        <v>1657</v>
      </c>
      <c r="I78" s="52" t="s">
        <v>27</v>
      </c>
      <c r="J78" s="52" t="s">
        <v>1658</v>
      </c>
      <c r="K78" s="52" t="s">
        <v>27</v>
      </c>
      <c r="L78" s="53">
        <v>851.56607546999999</v>
      </c>
      <c r="M78" s="52" t="s">
        <v>991</v>
      </c>
      <c r="N78" s="53">
        <v>705575.0635705</v>
      </c>
      <c r="O78" s="52" t="s">
        <v>1659</v>
      </c>
    </row>
    <row r="79" spans="1:15" ht="26.4" x14ac:dyDescent="0.25">
      <c r="A79" s="52" t="s">
        <v>568</v>
      </c>
      <c r="B79" s="143" t="s">
        <v>128</v>
      </c>
      <c r="C79" s="143" t="s">
        <v>569</v>
      </c>
      <c r="D79" s="143" t="s">
        <v>389</v>
      </c>
      <c r="E79" s="51" t="s">
        <v>490</v>
      </c>
      <c r="F79" s="52" t="s">
        <v>1001</v>
      </c>
      <c r="G79" s="52" t="s">
        <v>27</v>
      </c>
      <c r="H79" s="52" t="s">
        <v>1660</v>
      </c>
      <c r="I79" s="52" t="s">
        <v>27</v>
      </c>
      <c r="J79" s="52" t="s">
        <v>1661</v>
      </c>
      <c r="K79" s="52" t="s">
        <v>27</v>
      </c>
      <c r="L79" s="53">
        <v>841.12</v>
      </c>
      <c r="M79" s="52" t="s">
        <v>991</v>
      </c>
      <c r="N79" s="53">
        <v>706416.1835705</v>
      </c>
      <c r="O79" s="52" t="s">
        <v>1662</v>
      </c>
    </row>
    <row r="80" spans="1:15" ht="26.4" x14ac:dyDescent="0.25">
      <c r="A80" s="52" t="s">
        <v>1009</v>
      </c>
      <c r="B80" s="143" t="s">
        <v>87</v>
      </c>
      <c r="C80" s="143" t="s">
        <v>1010</v>
      </c>
      <c r="D80" s="143" t="s">
        <v>853</v>
      </c>
      <c r="E80" s="51" t="s">
        <v>490</v>
      </c>
      <c r="F80" s="52" t="s">
        <v>1011</v>
      </c>
      <c r="G80" s="52" t="s">
        <v>27</v>
      </c>
      <c r="H80" s="52" t="s">
        <v>1253</v>
      </c>
      <c r="I80" s="52" t="s">
        <v>27</v>
      </c>
      <c r="J80" s="52" t="s">
        <v>1663</v>
      </c>
      <c r="K80" s="52" t="s">
        <v>27</v>
      </c>
      <c r="L80" s="53">
        <v>823.83185393200006</v>
      </c>
      <c r="M80" s="52" t="s">
        <v>1003</v>
      </c>
      <c r="N80" s="53">
        <v>707240.01542439999</v>
      </c>
      <c r="O80" s="52" t="s">
        <v>1664</v>
      </c>
    </row>
    <row r="81" spans="1:15" ht="26.4" x14ac:dyDescent="0.25">
      <c r="A81" s="52" t="s">
        <v>1004</v>
      </c>
      <c r="B81" s="143" t="s">
        <v>87</v>
      </c>
      <c r="C81" s="143" t="s">
        <v>1005</v>
      </c>
      <c r="D81" s="143" t="s">
        <v>395</v>
      </c>
      <c r="E81" s="51" t="s">
        <v>19</v>
      </c>
      <c r="F81" s="52" t="s">
        <v>1006</v>
      </c>
      <c r="G81" s="52" t="s">
        <v>27</v>
      </c>
      <c r="H81" s="52" t="s">
        <v>1665</v>
      </c>
      <c r="I81" s="52" t="s">
        <v>27</v>
      </c>
      <c r="J81" s="52" t="s">
        <v>1666</v>
      </c>
      <c r="K81" s="52" t="s">
        <v>27</v>
      </c>
      <c r="L81" s="53">
        <v>815.68642117800005</v>
      </c>
      <c r="M81" s="52" t="s">
        <v>1003</v>
      </c>
      <c r="N81" s="53">
        <v>708055.70184560004</v>
      </c>
      <c r="O81" s="52" t="s">
        <v>1667</v>
      </c>
    </row>
    <row r="82" spans="1:15" ht="39.6" x14ac:dyDescent="0.25">
      <c r="A82" s="52" t="s">
        <v>1012</v>
      </c>
      <c r="B82" s="143" t="s">
        <v>87</v>
      </c>
      <c r="C82" s="143" t="s">
        <v>1013</v>
      </c>
      <c r="D82" s="143" t="s">
        <v>853</v>
      </c>
      <c r="E82" s="51" t="s">
        <v>18</v>
      </c>
      <c r="F82" s="52" t="s">
        <v>1014</v>
      </c>
      <c r="G82" s="52" t="s">
        <v>27</v>
      </c>
      <c r="H82" s="52" t="s">
        <v>1668</v>
      </c>
      <c r="I82" s="52" t="s">
        <v>27</v>
      </c>
      <c r="J82" s="52" t="s">
        <v>1669</v>
      </c>
      <c r="K82" s="52" t="s">
        <v>27</v>
      </c>
      <c r="L82" s="53">
        <v>798.57991370000002</v>
      </c>
      <c r="M82" s="52" t="s">
        <v>1003</v>
      </c>
      <c r="N82" s="53">
        <v>708854.28175930004</v>
      </c>
      <c r="O82" s="52" t="s">
        <v>1670</v>
      </c>
    </row>
    <row r="83" spans="1:15" ht="39.6" x14ac:dyDescent="0.25">
      <c r="A83" s="52" t="s">
        <v>391</v>
      </c>
      <c r="B83" s="143" t="s">
        <v>1373</v>
      </c>
      <c r="C83" s="143" t="s">
        <v>392</v>
      </c>
      <c r="D83" s="143" t="s">
        <v>389</v>
      </c>
      <c r="E83" s="51" t="s">
        <v>390</v>
      </c>
      <c r="F83" s="52" t="s">
        <v>1007</v>
      </c>
      <c r="G83" s="52" t="s">
        <v>27</v>
      </c>
      <c r="H83" s="52" t="s">
        <v>1471</v>
      </c>
      <c r="I83" s="52" t="s">
        <v>27</v>
      </c>
      <c r="J83" s="52" t="s">
        <v>1671</v>
      </c>
      <c r="K83" s="52" t="s">
        <v>27</v>
      </c>
      <c r="L83" s="53">
        <v>764.80907999999999</v>
      </c>
      <c r="M83" s="52" t="s">
        <v>1008</v>
      </c>
      <c r="N83" s="53">
        <v>709619.09083929996</v>
      </c>
      <c r="O83" s="52" t="s">
        <v>1672</v>
      </c>
    </row>
    <row r="84" spans="1:15" ht="26.4" x14ac:dyDescent="0.25">
      <c r="A84" s="52" t="s">
        <v>497</v>
      </c>
      <c r="B84" s="143" t="s">
        <v>87</v>
      </c>
      <c r="C84" s="143" t="s">
        <v>498</v>
      </c>
      <c r="D84" s="143" t="s">
        <v>395</v>
      </c>
      <c r="E84" s="51" t="s">
        <v>6</v>
      </c>
      <c r="F84" s="52" t="s">
        <v>1015</v>
      </c>
      <c r="G84" s="52" t="s">
        <v>27</v>
      </c>
      <c r="H84" s="52" t="s">
        <v>1673</v>
      </c>
      <c r="I84" s="52" t="s">
        <v>27</v>
      </c>
      <c r="J84" s="52" t="s">
        <v>1674</v>
      </c>
      <c r="K84" s="52" t="s">
        <v>27</v>
      </c>
      <c r="L84" s="53">
        <v>722.52</v>
      </c>
      <c r="M84" s="52" t="s">
        <v>1008</v>
      </c>
      <c r="N84" s="53">
        <v>710341.61083929997</v>
      </c>
      <c r="O84" s="52" t="s">
        <v>1675</v>
      </c>
    </row>
    <row r="85" spans="1:15" ht="26.4" x14ac:dyDescent="0.25">
      <c r="A85" s="52" t="s">
        <v>501</v>
      </c>
      <c r="B85" s="143" t="s">
        <v>87</v>
      </c>
      <c r="C85" s="143" t="s">
        <v>502</v>
      </c>
      <c r="D85" s="143" t="s">
        <v>395</v>
      </c>
      <c r="E85" s="51" t="s">
        <v>19</v>
      </c>
      <c r="F85" s="52" t="s">
        <v>1022</v>
      </c>
      <c r="G85" s="52" t="s">
        <v>27</v>
      </c>
      <c r="H85" s="52" t="s">
        <v>1676</v>
      </c>
      <c r="I85" s="52" t="s">
        <v>27</v>
      </c>
      <c r="J85" s="52" t="s">
        <v>1677</v>
      </c>
      <c r="K85" s="52" t="s">
        <v>27</v>
      </c>
      <c r="L85" s="53">
        <v>712.65340800000001</v>
      </c>
      <c r="M85" s="52" t="s">
        <v>1008</v>
      </c>
      <c r="N85" s="53">
        <v>711054.26424729999</v>
      </c>
      <c r="O85" s="52" t="s">
        <v>1678</v>
      </c>
    </row>
    <row r="86" spans="1:15" ht="26.4" x14ac:dyDescent="0.25">
      <c r="A86" s="52" t="s">
        <v>648</v>
      </c>
      <c r="B86" s="143" t="s">
        <v>87</v>
      </c>
      <c r="C86" s="143" t="s">
        <v>649</v>
      </c>
      <c r="D86" s="143" t="s">
        <v>395</v>
      </c>
      <c r="E86" s="51" t="s">
        <v>13</v>
      </c>
      <c r="F86" s="52" t="s">
        <v>1016</v>
      </c>
      <c r="G86" s="52" t="s">
        <v>27</v>
      </c>
      <c r="H86" s="52" t="s">
        <v>1017</v>
      </c>
      <c r="I86" s="52" t="s">
        <v>27</v>
      </c>
      <c r="J86" s="52" t="s">
        <v>1018</v>
      </c>
      <c r="K86" s="52" t="s">
        <v>27</v>
      </c>
      <c r="L86" s="53">
        <v>700.58573369999999</v>
      </c>
      <c r="M86" s="52" t="s">
        <v>1008</v>
      </c>
      <c r="N86" s="53">
        <v>711754.84998099995</v>
      </c>
      <c r="O86" s="52" t="s">
        <v>1679</v>
      </c>
    </row>
    <row r="87" spans="1:15" x14ac:dyDescent="0.25">
      <c r="A87" s="52" t="s">
        <v>577</v>
      </c>
      <c r="B87" s="143" t="s">
        <v>87</v>
      </c>
      <c r="C87" s="143" t="s">
        <v>578</v>
      </c>
      <c r="D87" s="143" t="s">
        <v>395</v>
      </c>
      <c r="E87" s="51" t="s">
        <v>28</v>
      </c>
      <c r="F87" s="52" t="s">
        <v>1027</v>
      </c>
      <c r="G87" s="52" t="s">
        <v>27</v>
      </c>
      <c r="H87" s="52" t="s">
        <v>1680</v>
      </c>
      <c r="I87" s="52" t="s">
        <v>27</v>
      </c>
      <c r="J87" s="52" t="s">
        <v>1681</v>
      </c>
      <c r="K87" s="52" t="s">
        <v>27</v>
      </c>
      <c r="L87" s="53">
        <v>641.1</v>
      </c>
      <c r="M87" s="52" t="s">
        <v>1021</v>
      </c>
      <c r="N87" s="53">
        <v>712395.94998100004</v>
      </c>
      <c r="O87" s="52" t="s">
        <v>1682</v>
      </c>
    </row>
    <row r="88" spans="1:15" ht="26.4" x14ac:dyDescent="0.25">
      <c r="A88" s="52" t="s">
        <v>1028</v>
      </c>
      <c r="B88" s="143" t="s">
        <v>87</v>
      </c>
      <c r="C88" s="143" t="s">
        <v>1029</v>
      </c>
      <c r="D88" s="143" t="s">
        <v>853</v>
      </c>
      <c r="E88" s="51" t="s">
        <v>490</v>
      </c>
      <c r="F88" s="52" t="s">
        <v>1586</v>
      </c>
      <c r="G88" s="52" t="s">
        <v>27</v>
      </c>
      <c r="H88" s="52" t="s">
        <v>1444</v>
      </c>
      <c r="I88" s="52" t="s">
        <v>27</v>
      </c>
      <c r="J88" s="52" t="s">
        <v>1683</v>
      </c>
      <c r="K88" s="52" t="s">
        <v>27</v>
      </c>
      <c r="L88" s="53">
        <v>623.71504766800001</v>
      </c>
      <c r="M88" s="52" t="s">
        <v>1021</v>
      </c>
      <c r="N88" s="53">
        <v>713019.66502870002</v>
      </c>
      <c r="O88" s="52" t="s">
        <v>1684</v>
      </c>
    </row>
    <row r="89" spans="1:15" ht="26.4" x14ac:dyDescent="0.25">
      <c r="A89" s="52" t="s">
        <v>650</v>
      </c>
      <c r="B89" s="143" t="s">
        <v>87</v>
      </c>
      <c r="C89" s="143" t="s">
        <v>651</v>
      </c>
      <c r="D89" s="143" t="s">
        <v>395</v>
      </c>
      <c r="E89" s="51" t="s">
        <v>13</v>
      </c>
      <c r="F89" s="52" t="s">
        <v>1023</v>
      </c>
      <c r="G89" s="52" t="s">
        <v>27</v>
      </c>
      <c r="H89" s="52" t="s">
        <v>1024</v>
      </c>
      <c r="I89" s="52" t="s">
        <v>27</v>
      </c>
      <c r="J89" s="52" t="s">
        <v>1025</v>
      </c>
      <c r="K89" s="52" t="s">
        <v>27</v>
      </c>
      <c r="L89" s="53">
        <v>618.60907134000001</v>
      </c>
      <c r="M89" s="52" t="s">
        <v>1026</v>
      </c>
      <c r="N89" s="53">
        <v>713638.27410000004</v>
      </c>
      <c r="O89" s="52" t="s">
        <v>1685</v>
      </c>
    </row>
    <row r="90" spans="1:15" x14ac:dyDescent="0.25">
      <c r="A90" s="52" t="s">
        <v>1019</v>
      </c>
      <c r="B90" s="143" t="s">
        <v>87</v>
      </c>
      <c r="C90" s="143" t="s">
        <v>1020</v>
      </c>
      <c r="D90" s="143" t="s">
        <v>389</v>
      </c>
      <c r="E90" s="51" t="s">
        <v>490</v>
      </c>
      <c r="F90" s="52" t="s">
        <v>1686</v>
      </c>
      <c r="G90" s="52" t="s">
        <v>27</v>
      </c>
      <c r="H90" s="52" t="s">
        <v>1687</v>
      </c>
      <c r="I90" s="52" t="s">
        <v>27</v>
      </c>
      <c r="J90" s="52" t="s">
        <v>1688</v>
      </c>
      <c r="K90" s="52" t="s">
        <v>27</v>
      </c>
      <c r="L90" s="53">
        <v>599.25257426999997</v>
      </c>
      <c r="M90" s="52" t="s">
        <v>1026</v>
      </c>
      <c r="N90" s="53">
        <v>714237.52667429997</v>
      </c>
      <c r="O90" s="52" t="s">
        <v>1689</v>
      </c>
    </row>
    <row r="91" spans="1:15" x14ac:dyDescent="0.25">
      <c r="A91" s="52" t="s">
        <v>1030</v>
      </c>
      <c r="B91" s="143" t="s">
        <v>87</v>
      </c>
      <c r="C91" s="143" t="s">
        <v>1031</v>
      </c>
      <c r="D91" s="143" t="s">
        <v>389</v>
      </c>
      <c r="E91" s="51" t="s">
        <v>490</v>
      </c>
      <c r="F91" s="52" t="s">
        <v>1690</v>
      </c>
      <c r="G91" s="52" t="s">
        <v>27</v>
      </c>
      <c r="H91" s="52" t="s">
        <v>1691</v>
      </c>
      <c r="I91" s="52" t="s">
        <v>27</v>
      </c>
      <c r="J91" s="52" t="s">
        <v>1692</v>
      </c>
      <c r="K91" s="52" t="s">
        <v>27</v>
      </c>
      <c r="L91" s="53">
        <v>574.83045092400005</v>
      </c>
      <c r="M91" s="52" t="s">
        <v>1026</v>
      </c>
      <c r="N91" s="53">
        <v>714812.35712519998</v>
      </c>
      <c r="O91" s="52" t="s">
        <v>1693</v>
      </c>
    </row>
    <row r="92" spans="1:15" x14ac:dyDescent="0.25">
      <c r="A92" s="52" t="s">
        <v>1033</v>
      </c>
      <c r="B92" s="143" t="s">
        <v>87</v>
      </c>
      <c r="C92" s="143" t="s">
        <v>1034</v>
      </c>
      <c r="D92" s="143" t="s">
        <v>389</v>
      </c>
      <c r="E92" s="51" t="s">
        <v>490</v>
      </c>
      <c r="F92" s="52" t="s">
        <v>1694</v>
      </c>
      <c r="G92" s="52" t="s">
        <v>27</v>
      </c>
      <c r="H92" s="52" t="s">
        <v>1449</v>
      </c>
      <c r="I92" s="52" t="s">
        <v>27</v>
      </c>
      <c r="J92" s="52" t="s">
        <v>1695</v>
      </c>
      <c r="K92" s="52" t="s">
        <v>27</v>
      </c>
      <c r="L92" s="53">
        <v>560.141430496</v>
      </c>
      <c r="M92" s="52" t="s">
        <v>1026</v>
      </c>
      <c r="N92" s="53">
        <v>715372.49855569995</v>
      </c>
      <c r="O92" s="52" t="s">
        <v>1696</v>
      </c>
    </row>
    <row r="93" spans="1:15" ht="26.4" x14ac:dyDescent="0.25">
      <c r="A93" s="52" t="s">
        <v>825</v>
      </c>
      <c r="B93" s="143" t="s">
        <v>87</v>
      </c>
      <c r="C93" s="143" t="s">
        <v>826</v>
      </c>
      <c r="D93" s="143" t="s">
        <v>395</v>
      </c>
      <c r="E93" s="51" t="s">
        <v>19</v>
      </c>
      <c r="F93" s="52" t="s">
        <v>1032</v>
      </c>
      <c r="G93" s="52" t="s">
        <v>27</v>
      </c>
      <c r="H93" s="52" t="s">
        <v>1697</v>
      </c>
      <c r="I93" s="52" t="s">
        <v>27</v>
      </c>
      <c r="J93" s="52" t="s">
        <v>1698</v>
      </c>
      <c r="K93" s="52" t="s">
        <v>27</v>
      </c>
      <c r="L93" s="53">
        <v>545.11757999999998</v>
      </c>
      <c r="M93" s="52" t="s">
        <v>1040</v>
      </c>
      <c r="N93" s="53">
        <v>715917.61613570002</v>
      </c>
      <c r="O93" s="52" t="s">
        <v>1699</v>
      </c>
    </row>
    <row r="94" spans="1:15" x14ac:dyDescent="0.25">
      <c r="A94" s="52" t="s">
        <v>1044</v>
      </c>
      <c r="B94" s="143" t="s">
        <v>87</v>
      </c>
      <c r="C94" s="143" t="s">
        <v>1045</v>
      </c>
      <c r="D94" s="143" t="s">
        <v>395</v>
      </c>
      <c r="E94" s="51" t="s">
        <v>30</v>
      </c>
      <c r="F94" s="52" t="s">
        <v>1046</v>
      </c>
      <c r="G94" s="52" t="s">
        <v>27</v>
      </c>
      <c r="H94" s="52" t="s">
        <v>1700</v>
      </c>
      <c r="I94" s="52" t="s">
        <v>27</v>
      </c>
      <c r="J94" s="52" t="s">
        <v>1701</v>
      </c>
      <c r="K94" s="52" t="s">
        <v>27</v>
      </c>
      <c r="L94" s="53">
        <v>544.19254751999995</v>
      </c>
      <c r="M94" s="52" t="s">
        <v>1040</v>
      </c>
      <c r="N94" s="53">
        <v>716461.80868320004</v>
      </c>
      <c r="O94" s="52" t="s">
        <v>1702</v>
      </c>
    </row>
    <row r="95" spans="1:15" ht="26.4" x14ac:dyDescent="0.25">
      <c r="A95" s="52" t="s">
        <v>1041</v>
      </c>
      <c r="B95" s="143" t="s">
        <v>87</v>
      </c>
      <c r="C95" s="143" t="s">
        <v>1042</v>
      </c>
      <c r="D95" s="143" t="s">
        <v>853</v>
      </c>
      <c r="E95" s="51" t="s">
        <v>18</v>
      </c>
      <c r="F95" s="52" t="s">
        <v>1043</v>
      </c>
      <c r="G95" s="52" t="s">
        <v>27</v>
      </c>
      <c r="H95" s="52" t="s">
        <v>1703</v>
      </c>
      <c r="I95" s="52" t="s">
        <v>27</v>
      </c>
      <c r="J95" s="52" t="s">
        <v>1704</v>
      </c>
      <c r="K95" s="52" t="s">
        <v>27</v>
      </c>
      <c r="L95" s="53">
        <v>516.58387776500001</v>
      </c>
      <c r="M95" s="52" t="s">
        <v>1040</v>
      </c>
      <c r="N95" s="53">
        <v>716978.39256099996</v>
      </c>
      <c r="O95" s="52" t="s">
        <v>1705</v>
      </c>
    </row>
    <row r="96" spans="1:15" ht="26.4" x14ac:dyDescent="0.25">
      <c r="A96" s="52" t="s">
        <v>1035</v>
      </c>
      <c r="B96" s="143" t="s">
        <v>87</v>
      </c>
      <c r="C96" s="143" t="s">
        <v>1036</v>
      </c>
      <c r="D96" s="143" t="s">
        <v>853</v>
      </c>
      <c r="E96" s="51" t="s">
        <v>18</v>
      </c>
      <c r="F96" s="52" t="s">
        <v>1037</v>
      </c>
      <c r="G96" s="52" t="s">
        <v>27</v>
      </c>
      <c r="H96" s="52" t="s">
        <v>1706</v>
      </c>
      <c r="I96" s="52" t="s">
        <v>27</v>
      </c>
      <c r="J96" s="52" t="s">
        <v>1707</v>
      </c>
      <c r="K96" s="52" t="s">
        <v>27</v>
      </c>
      <c r="L96" s="53">
        <v>513.48353643600001</v>
      </c>
      <c r="M96" s="52" t="s">
        <v>1040</v>
      </c>
      <c r="N96" s="53">
        <v>717491.87609739997</v>
      </c>
      <c r="O96" s="52" t="s">
        <v>1708</v>
      </c>
    </row>
    <row r="97" spans="1:15" x14ac:dyDescent="0.25">
      <c r="A97" s="52" t="s">
        <v>1038</v>
      </c>
      <c r="B97" s="143" t="s">
        <v>87</v>
      </c>
      <c r="C97" s="143" t="s">
        <v>1039</v>
      </c>
      <c r="D97" s="143" t="s">
        <v>389</v>
      </c>
      <c r="E97" s="51" t="s">
        <v>490</v>
      </c>
      <c r="F97" s="52" t="s">
        <v>1709</v>
      </c>
      <c r="G97" s="52" t="s">
        <v>27</v>
      </c>
      <c r="H97" s="52" t="s">
        <v>1710</v>
      </c>
      <c r="I97" s="52" t="s">
        <v>27</v>
      </c>
      <c r="J97" s="52" t="s">
        <v>1711</v>
      </c>
      <c r="K97" s="52" t="s">
        <v>27</v>
      </c>
      <c r="L97" s="53">
        <v>508.43063965200002</v>
      </c>
      <c r="M97" s="52" t="s">
        <v>1040</v>
      </c>
      <c r="N97" s="53">
        <v>718000.30673710001</v>
      </c>
      <c r="O97" s="52" t="s">
        <v>1712</v>
      </c>
    </row>
    <row r="98" spans="1:15" ht="39.6" x14ac:dyDescent="0.25">
      <c r="A98" s="52" t="s">
        <v>398</v>
      </c>
      <c r="B98" s="143" t="s">
        <v>1373</v>
      </c>
      <c r="C98" s="143" t="s">
        <v>399</v>
      </c>
      <c r="D98" s="143" t="s">
        <v>395</v>
      </c>
      <c r="E98" s="51" t="s">
        <v>400</v>
      </c>
      <c r="F98" s="52" t="s">
        <v>1051</v>
      </c>
      <c r="G98" s="52" t="s">
        <v>27</v>
      </c>
      <c r="H98" s="52" t="s">
        <v>1052</v>
      </c>
      <c r="I98" s="52" t="s">
        <v>27</v>
      </c>
      <c r="J98" s="52" t="s">
        <v>1053</v>
      </c>
      <c r="K98" s="52" t="s">
        <v>27</v>
      </c>
      <c r="L98" s="53">
        <v>475.69920000000002</v>
      </c>
      <c r="M98" s="52" t="s">
        <v>1040</v>
      </c>
      <c r="N98" s="53">
        <v>718476.00593710004</v>
      </c>
      <c r="O98" s="52" t="s">
        <v>1050</v>
      </c>
    </row>
    <row r="99" spans="1:15" x14ac:dyDescent="0.25">
      <c r="A99" s="52" t="s">
        <v>545</v>
      </c>
      <c r="B99" s="143" t="s">
        <v>90</v>
      </c>
      <c r="C99" s="143" t="s">
        <v>546</v>
      </c>
      <c r="D99" s="143" t="s">
        <v>395</v>
      </c>
      <c r="E99" s="51" t="s">
        <v>6</v>
      </c>
      <c r="F99" s="52" t="s">
        <v>1056</v>
      </c>
      <c r="G99" s="52" t="s">
        <v>27</v>
      </c>
      <c r="H99" s="52" t="s">
        <v>1713</v>
      </c>
      <c r="I99" s="52" t="s">
        <v>27</v>
      </c>
      <c r="J99" s="52" t="s">
        <v>1714</v>
      </c>
      <c r="K99" s="52" t="s">
        <v>27</v>
      </c>
      <c r="L99" s="53">
        <v>474.012</v>
      </c>
      <c r="M99" s="52" t="s">
        <v>1055</v>
      </c>
      <c r="N99" s="53">
        <v>718950.01793710003</v>
      </c>
      <c r="O99" s="52" t="s">
        <v>1715</v>
      </c>
    </row>
    <row r="100" spans="1:15" ht="26.4" x14ac:dyDescent="0.25">
      <c r="A100" s="52" t="s">
        <v>827</v>
      </c>
      <c r="B100" s="143" t="s">
        <v>87</v>
      </c>
      <c r="C100" s="143" t="s">
        <v>828</v>
      </c>
      <c r="D100" s="143" t="s">
        <v>395</v>
      </c>
      <c r="E100" s="51" t="s">
        <v>19</v>
      </c>
      <c r="F100" s="52" t="s">
        <v>1054</v>
      </c>
      <c r="G100" s="52" t="s">
        <v>27</v>
      </c>
      <c r="H100" s="52" t="s">
        <v>1716</v>
      </c>
      <c r="I100" s="52" t="s">
        <v>27</v>
      </c>
      <c r="J100" s="52" t="s">
        <v>1717</v>
      </c>
      <c r="K100" s="52" t="s">
        <v>27</v>
      </c>
      <c r="L100" s="53">
        <v>446.50367999999997</v>
      </c>
      <c r="M100" s="52" t="s">
        <v>1055</v>
      </c>
      <c r="N100" s="53">
        <v>719396.52161709999</v>
      </c>
      <c r="O100" s="52" t="s">
        <v>1718</v>
      </c>
    </row>
    <row r="101" spans="1:15" ht="39.6" x14ac:dyDescent="0.25">
      <c r="A101" s="52" t="s">
        <v>1047</v>
      </c>
      <c r="B101" s="143" t="s">
        <v>87</v>
      </c>
      <c r="C101" s="143" t="s">
        <v>1048</v>
      </c>
      <c r="D101" s="143" t="s">
        <v>395</v>
      </c>
      <c r="E101" s="51" t="s">
        <v>6</v>
      </c>
      <c r="F101" s="52" t="s">
        <v>1049</v>
      </c>
      <c r="G101" s="52" t="s">
        <v>27</v>
      </c>
      <c r="H101" s="52" t="s">
        <v>1719</v>
      </c>
      <c r="I101" s="52" t="s">
        <v>27</v>
      </c>
      <c r="J101" s="52" t="s">
        <v>1720</v>
      </c>
      <c r="K101" s="52" t="s">
        <v>27</v>
      </c>
      <c r="L101" s="53">
        <v>430.21695626600001</v>
      </c>
      <c r="M101" s="52" t="s">
        <v>1055</v>
      </c>
      <c r="N101" s="53">
        <v>719826.73857339995</v>
      </c>
      <c r="O101" s="52" t="s">
        <v>1721</v>
      </c>
    </row>
    <row r="102" spans="1:15" x14ac:dyDescent="0.25">
      <c r="A102" s="52" t="s">
        <v>1060</v>
      </c>
      <c r="B102" s="143" t="s">
        <v>87</v>
      </c>
      <c r="C102" s="143" t="s">
        <v>1061</v>
      </c>
      <c r="D102" s="143" t="s">
        <v>389</v>
      </c>
      <c r="E102" s="51" t="s">
        <v>490</v>
      </c>
      <c r="F102" s="52" t="s">
        <v>1722</v>
      </c>
      <c r="G102" s="52" t="s">
        <v>27</v>
      </c>
      <c r="H102" s="52" t="s">
        <v>1454</v>
      </c>
      <c r="I102" s="52" t="s">
        <v>27</v>
      </c>
      <c r="J102" s="52" t="s">
        <v>1723</v>
      </c>
      <c r="K102" s="52" t="s">
        <v>27</v>
      </c>
      <c r="L102" s="53">
        <v>419.54872100400002</v>
      </c>
      <c r="M102" s="52" t="s">
        <v>1055</v>
      </c>
      <c r="N102" s="53">
        <v>720246.28729440004</v>
      </c>
      <c r="O102" s="52" t="s">
        <v>1724</v>
      </c>
    </row>
    <row r="103" spans="1:15" ht="26.4" x14ac:dyDescent="0.25">
      <c r="A103" s="52" t="s">
        <v>740</v>
      </c>
      <c r="B103" s="143" t="s">
        <v>87</v>
      </c>
      <c r="C103" s="143" t="s">
        <v>741</v>
      </c>
      <c r="D103" s="143" t="s">
        <v>395</v>
      </c>
      <c r="E103" s="51" t="s">
        <v>13</v>
      </c>
      <c r="F103" s="52" t="s">
        <v>1062</v>
      </c>
      <c r="G103" s="52" t="s">
        <v>27</v>
      </c>
      <c r="H103" s="52" t="s">
        <v>1725</v>
      </c>
      <c r="I103" s="52" t="s">
        <v>27</v>
      </c>
      <c r="J103" s="52" t="s">
        <v>1726</v>
      </c>
      <c r="K103" s="52" t="s">
        <v>27</v>
      </c>
      <c r="L103" s="53">
        <v>403.11518478099998</v>
      </c>
      <c r="M103" s="52" t="s">
        <v>1055</v>
      </c>
      <c r="N103" s="53">
        <v>720649.40247920004</v>
      </c>
      <c r="O103" s="52" t="s">
        <v>1727</v>
      </c>
    </row>
    <row r="104" spans="1:15" x14ac:dyDescent="0.25">
      <c r="A104" s="52" t="s">
        <v>1057</v>
      </c>
      <c r="B104" s="143" t="s">
        <v>87</v>
      </c>
      <c r="C104" s="143" t="s">
        <v>1058</v>
      </c>
      <c r="D104" s="143" t="s">
        <v>395</v>
      </c>
      <c r="E104" s="51" t="s">
        <v>28</v>
      </c>
      <c r="F104" s="52" t="s">
        <v>1059</v>
      </c>
      <c r="G104" s="52" t="s">
        <v>27</v>
      </c>
      <c r="H104" s="52" t="s">
        <v>1728</v>
      </c>
      <c r="I104" s="52" t="s">
        <v>27</v>
      </c>
      <c r="J104" s="52" t="s">
        <v>1729</v>
      </c>
      <c r="K104" s="52" t="s">
        <v>27</v>
      </c>
      <c r="L104" s="53">
        <v>386.57836800000001</v>
      </c>
      <c r="M104" s="52" t="s">
        <v>1063</v>
      </c>
      <c r="N104" s="53">
        <v>721035.98084720003</v>
      </c>
      <c r="O104" s="52" t="s">
        <v>1730</v>
      </c>
    </row>
    <row r="105" spans="1:15" ht="26.4" x14ac:dyDescent="0.25">
      <c r="A105" s="52" t="s">
        <v>1071</v>
      </c>
      <c r="B105" s="143" t="s">
        <v>87</v>
      </c>
      <c r="C105" s="143" t="s">
        <v>1072</v>
      </c>
      <c r="D105" s="143" t="s">
        <v>853</v>
      </c>
      <c r="E105" s="51" t="s">
        <v>18</v>
      </c>
      <c r="F105" s="52" t="s">
        <v>1073</v>
      </c>
      <c r="G105" s="52" t="s">
        <v>27</v>
      </c>
      <c r="H105" s="52" t="s">
        <v>1731</v>
      </c>
      <c r="I105" s="52" t="s">
        <v>27</v>
      </c>
      <c r="J105" s="52" t="s">
        <v>1732</v>
      </c>
      <c r="K105" s="52" t="s">
        <v>27</v>
      </c>
      <c r="L105" s="53">
        <v>383.87071800000001</v>
      </c>
      <c r="M105" s="52" t="s">
        <v>1063</v>
      </c>
      <c r="N105" s="53">
        <v>721419.85156520002</v>
      </c>
      <c r="O105" s="52" t="s">
        <v>1733</v>
      </c>
    </row>
    <row r="106" spans="1:15" ht="26.4" x14ac:dyDescent="0.25">
      <c r="A106" s="52" t="s">
        <v>1064</v>
      </c>
      <c r="B106" s="143" t="s">
        <v>87</v>
      </c>
      <c r="C106" s="143" t="s">
        <v>1065</v>
      </c>
      <c r="D106" s="143" t="s">
        <v>395</v>
      </c>
      <c r="E106" s="51" t="s">
        <v>6</v>
      </c>
      <c r="F106" s="52" t="s">
        <v>1066</v>
      </c>
      <c r="G106" s="52" t="s">
        <v>27</v>
      </c>
      <c r="H106" s="52" t="s">
        <v>1734</v>
      </c>
      <c r="I106" s="52" t="s">
        <v>27</v>
      </c>
      <c r="J106" s="52" t="s">
        <v>1735</v>
      </c>
      <c r="K106" s="52" t="s">
        <v>27</v>
      </c>
      <c r="L106" s="53">
        <v>377.54059927200001</v>
      </c>
      <c r="M106" s="52" t="s">
        <v>1063</v>
      </c>
      <c r="N106" s="53">
        <v>721797.39216449996</v>
      </c>
      <c r="O106" s="52" t="s">
        <v>1736</v>
      </c>
    </row>
    <row r="107" spans="1:15" x14ac:dyDescent="0.25">
      <c r="A107" s="52" t="s">
        <v>725</v>
      </c>
      <c r="B107" s="143" t="s">
        <v>87</v>
      </c>
      <c r="C107" s="143" t="s">
        <v>726</v>
      </c>
      <c r="D107" s="143" t="s">
        <v>395</v>
      </c>
      <c r="E107" s="51" t="s">
        <v>28</v>
      </c>
      <c r="F107" s="52" t="s">
        <v>1074</v>
      </c>
      <c r="G107" s="52" t="s">
        <v>27</v>
      </c>
      <c r="H107" s="52" t="s">
        <v>1737</v>
      </c>
      <c r="I107" s="52" t="s">
        <v>27</v>
      </c>
      <c r="J107" s="52" t="s">
        <v>1738</v>
      </c>
      <c r="K107" s="52" t="s">
        <v>27</v>
      </c>
      <c r="L107" s="53">
        <v>370.14424868100002</v>
      </c>
      <c r="M107" s="52" t="s">
        <v>1063</v>
      </c>
      <c r="N107" s="53">
        <v>722167.53641319997</v>
      </c>
      <c r="O107" s="52" t="s">
        <v>1739</v>
      </c>
    </row>
    <row r="108" spans="1:15" ht="26.4" x14ac:dyDescent="0.25">
      <c r="A108" s="52" t="s">
        <v>831</v>
      </c>
      <c r="B108" s="143" t="s">
        <v>87</v>
      </c>
      <c r="C108" s="143" t="s">
        <v>832</v>
      </c>
      <c r="D108" s="143" t="s">
        <v>395</v>
      </c>
      <c r="E108" s="51" t="s">
        <v>19</v>
      </c>
      <c r="F108" s="52" t="s">
        <v>1067</v>
      </c>
      <c r="G108" s="52" t="s">
        <v>27</v>
      </c>
      <c r="H108" s="52" t="s">
        <v>1740</v>
      </c>
      <c r="I108" s="52" t="s">
        <v>27</v>
      </c>
      <c r="J108" s="52" t="s">
        <v>1741</v>
      </c>
      <c r="K108" s="52" t="s">
        <v>27</v>
      </c>
      <c r="L108" s="53">
        <v>363.64019999999999</v>
      </c>
      <c r="M108" s="52" t="s">
        <v>1063</v>
      </c>
      <c r="N108" s="53">
        <v>722531.17661319999</v>
      </c>
      <c r="O108" s="52" t="s">
        <v>1742</v>
      </c>
    </row>
    <row r="109" spans="1:15" ht="26.4" x14ac:dyDescent="0.25">
      <c r="A109" s="52" t="s">
        <v>572</v>
      </c>
      <c r="B109" s="143" t="s">
        <v>128</v>
      </c>
      <c r="C109" s="143" t="s">
        <v>573</v>
      </c>
      <c r="D109" s="143" t="s">
        <v>389</v>
      </c>
      <c r="E109" s="51" t="s">
        <v>490</v>
      </c>
      <c r="F109" s="52" t="s">
        <v>1087</v>
      </c>
      <c r="G109" s="52" t="s">
        <v>27</v>
      </c>
      <c r="H109" s="52" t="s">
        <v>1743</v>
      </c>
      <c r="I109" s="52" t="s">
        <v>27</v>
      </c>
      <c r="J109" s="52" t="s">
        <v>1744</v>
      </c>
      <c r="K109" s="52" t="s">
        <v>27</v>
      </c>
      <c r="L109" s="53">
        <v>354.2525</v>
      </c>
      <c r="M109" s="52" t="s">
        <v>1063</v>
      </c>
      <c r="N109" s="53">
        <v>722885.42911320005</v>
      </c>
      <c r="O109" s="52" t="s">
        <v>1745</v>
      </c>
    </row>
    <row r="110" spans="1:15" ht="26.4" x14ac:dyDescent="0.25">
      <c r="A110" s="52" t="s">
        <v>1077</v>
      </c>
      <c r="B110" s="143" t="s">
        <v>87</v>
      </c>
      <c r="C110" s="143" t="s">
        <v>1078</v>
      </c>
      <c r="D110" s="143" t="s">
        <v>853</v>
      </c>
      <c r="E110" s="51" t="s">
        <v>490</v>
      </c>
      <c r="F110" s="52" t="s">
        <v>990</v>
      </c>
      <c r="G110" s="52" t="s">
        <v>27</v>
      </c>
      <c r="H110" s="52" t="s">
        <v>1746</v>
      </c>
      <c r="I110" s="52" t="s">
        <v>27</v>
      </c>
      <c r="J110" s="52" t="s">
        <v>1747</v>
      </c>
      <c r="K110" s="52" t="s">
        <v>27</v>
      </c>
      <c r="L110" s="53">
        <v>347.984729442</v>
      </c>
      <c r="M110" s="52" t="s">
        <v>1063</v>
      </c>
      <c r="N110" s="53">
        <v>723233.41384259996</v>
      </c>
      <c r="O110" s="52" t="s">
        <v>1079</v>
      </c>
    </row>
    <row r="111" spans="1:15" ht="26.4" x14ac:dyDescent="0.25">
      <c r="A111" s="52" t="s">
        <v>1084</v>
      </c>
      <c r="B111" s="143" t="s">
        <v>87</v>
      </c>
      <c r="C111" s="143" t="s">
        <v>1085</v>
      </c>
      <c r="D111" s="143" t="s">
        <v>853</v>
      </c>
      <c r="E111" s="51" t="s">
        <v>490</v>
      </c>
      <c r="F111" s="52" t="s">
        <v>1086</v>
      </c>
      <c r="G111" s="52" t="s">
        <v>27</v>
      </c>
      <c r="H111" s="52" t="s">
        <v>1748</v>
      </c>
      <c r="I111" s="52" t="s">
        <v>27</v>
      </c>
      <c r="J111" s="52" t="s">
        <v>1749</v>
      </c>
      <c r="K111" s="52" t="s">
        <v>27</v>
      </c>
      <c r="L111" s="53">
        <v>308.121265935</v>
      </c>
      <c r="M111" s="52" t="s">
        <v>1076</v>
      </c>
      <c r="N111" s="53">
        <v>723541.53510850004</v>
      </c>
      <c r="O111" s="52" t="s">
        <v>1081</v>
      </c>
    </row>
    <row r="112" spans="1:15" x14ac:dyDescent="0.25">
      <c r="A112" s="52" t="s">
        <v>1082</v>
      </c>
      <c r="B112" s="143" t="s">
        <v>87</v>
      </c>
      <c r="C112" s="143" t="s">
        <v>1083</v>
      </c>
      <c r="D112" s="143" t="s">
        <v>389</v>
      </c>
      <c r="E112" s="51" t="s">
        <v>490</v>
      </c>
      <c r="F112" s="52" t="s">
        <v>1750</v>
      </c>
      <c r="G112" s="52" t="s">
        <v>27</v>
      </c>
      <c r="H112" s="52" t="s">
        <v>1751</v>
      </c>
      <c r="I112" s="52" t="s">
        <v>27</v>
      </c>
      <c r="J112" s="52" t="s">
        <v>1752</v>
      </c>
      <c r="K112" s="52" t="s">
        <v>27</v>
      </c>
      <c r="L112" s="53">
        <v>302.8679836</v>
      </c>
      <c r="M112" s="52" t="s">
        <v>1076</v>
      </c>
      <c r="N112" s="53">
        <v>723844.40309210005</v>
      </c>
      <c r="O112" s="52" t="s">
        <v>1753</v>
      </c>
    </row>
    <row r="113" spans="1:15" ht="26.4" x14ac:dyDescent="0.25">
      <c r="A113" s="52" t="s">
        <v>1068</v>
      </c>
      <c r="B113" s="143" t="s">
        <v>87</v>
      </c>
      <c r="C113" s="143" t="s">
        <v>1069</v>
      </c>
      <c r="D113" s="143" t="s">
        <v>395</v>
      </c>
      <c r="E113" s="51" t="s">
        <v>18</v>
      </c>
      <c r="F113" s="52" t="s">
        <v>1070</v>
      </c>
      <c r="G113" s="52" t="s">
        <v>27</v>
      </c>
      <c r="H113" s="52" t="s">
        <v>1754</v>
      </c>
      <c r="I113" s="52" t="s">
        <v>27</v>
      </c>
      <c r="J113" s="52" t="s">
        <v>1755</v>
      </c>
      <c r="K113" s="52" t="s">
        <v>27</v>
      </c>
      <c r="L113" s="53">
        <v>284.72069249999998</v>
      </c>
      <c r="M113" s="52" t="s">
        <v>1076</v>
      </c>
      <c r="N113" s="53">
        <v>724129.12378459994</v>
      </c>
      <c r="O113" s="52" t="s">
        <v>1756</v>
      </c>
    </row>
    <row r="114" spans="1:15" ht="26.4" x14ac:dyDescent="0.25">
      <c r="A114" s="52" t="s">
        <v>667</v>
      </c>
      <c r="B114" s="143" t="s">
        <v>87</v>
      </c>
      <c r="C114" s="143" t="s">
        <v>668</v>
      </c>
      <c r="D114" s="143" t="s">
        <v>395</v>
      </c>
      <c r="E114" s="51" t="s">
        <v>19</v>
      </c>
      <c r="F114" s="52" t="s">
        <v>1089</v>
      </c>
      <c r="G114" s="52" t="s">
        <v>27</v>
      </c>
      <c r="H114" s="52" t="s">
        <v>1757</v>
      </c>
      <c r="I114" s="52" t="s">
        <v>27</v>
      </c>
      <c r="J114" s="52" t="s">
        <v>1758</v>
      </c>
      <c r="K114" s="52" t="s">
        <v>27</v>
      </c>
      <c r="L114" s="53">
        <v>275.31052560000001</v>
      </c>
      <c r="M114" s="52" t="s">
        <v>1076</v>
      </c>
      <c r="N114" s="53">
        <v>724404.43431020004</v>
      </c>
      <c r="O114" s="52" t="s">
        <v>1088</v>
      </c>
    </row>
    <row r="115" spans="1:15" ht="39.6" x14ac:dyDescent="0.25">
      <c r="A115" s="52" t="s">
        <v>710</v>
      </c>
      <c r="B115" s="143" t="s">
        <v>1373</v>
      </c>
      <c r="C115" s="143" t="s">
        <v>711</v>
      </c>
      <c r="D115" s="143" t="s">
        <v>389</v>
      </c>
      <c r="E115" s="51" t="s">
        <v>390</v>
      </c>
      <c r="F115" s="52" t="s">
        <v>1090</v>
      </c>
      <c r="G115" s="52" t="s">
        <v>27</v>
      </c>
      <c r="H115" s="52" t="s">
        <v>1647</v>
      </c>
      <c r="I115" s="52" t="s">
        <v>27</v>
      </c>
      <c r="J115" s="52" t="s">
        <v>1759</v>
      </c>
      <c r="K115" s="52" t="s">
        <v>27</v>
      </c>
      <c r="L115" s="53">
        <v>269.79000000000002</v>
      </c>
      <c r="M115" s="52" t="s">
        <v>1076</v>
      </c>
      <c r="N115" s="53">
        <v>724674.22431019996</v>
      </c>
      <c r="O115" s="52" t="s">
        <v>1760</v>
      </c>
    </row>
    <row r="116" spans="1:15" ht="39.6" x14ac:dyDescent="0.25">
      <c r="A116" s="52" t="s">
        <v>695</v>
      </c>
      <c r="B116" s="143" t="s">
        <v>1373</v>
      </c>
      <c r="C116" s="143" t="s">
        <v>696</v>
      </c>
      <c r="D116" s="143" t="s">
        <v>395</v>
      </c>
      <c r="E116" s="51" t="s">
        <v>400</v>
      </c>
      <c r="F116" s="52" t="s">
        <v>1080</v>
      </c>
      <c r="G116" s="52" t="s">
        <v>27</v>
      </c>
      <c r="H116" s="52" t="s">
        <v>1761</v>
      </c>
      <c r="I116" s="52" t="s">
        <v>27</v>
      </c>
      <c r="J116" s="52" t="s">
        <v>1762</v>
      </c>
      <c r="K116" s="52" t="s">
        <v>27</v>
      </c>
      <c r="L116" s="53">
        <v>261.17099999999999</v>
      </c>
      <c r="M116" s="52" t="s">
        <v>1076</v>
      </c>
      <c r="N116" s="53">
        <v>724935.39531020005</v>
      </c>
      <c r="O116" s="52" t="s">
        <v>1763</v>
      </c>
    </row>
    <row r="117" spans="1:15" ht="26.4" x14ac:dyDescent="0.25">
      <c r="A117" s="52" t="s">
        <v>1091</v>
      </c>
      <c r="B117" s="143" t="s">
        <v>87</v>
      </c>
      <c r="C117" s="143" t="s">
        <v>1092</v>
      </c>
      <c r="D117" s="143" t="s">
        <v>853</v>
      </c>
      <c r="E117" s="51" t="s">
        <v>18</v>
      </c>
      <c r="F117" s="52" t="s">
        <v>1093</v>
      </c>
      <c r="G117" s="52" t="s">
        <v>27</v>
      </c>
      <c r="H117" s="52" t="s">
        <v>1764</v>
      </c>
      <c r="I117" s="52" t="s">
        <v>27</v>
      </c>
      <c r="J117" s="52" t="s">
        <v>1765</v>
      </c>
      <c r="K117" s="52" t="s">
        <v>27</v>
      </c>
      <c r="L117" s="53">
        <v>255.26301049099999</v>
      </c>
      <c r="M117" s="52" t="s">
        <v>1097</v>
      </c>
      <c r="N117" s="53">
        <v>725190.65832070005</v>
      </c>
      <c r="O117" s="52" t="s">
        <v>1766</v>
      </c>
    </row>
    <row r="118" spans="1:15" ht="26.4" x14ac:dyDescent="0.25">
      <c r="A118" s="52" t="s">
        <v>1100</v>
      </c>
      <c r="B118" s="143" t="s">
        <v>87</v>
      </c>
      <c r="C118" s="143" t="s">
        <v>1101</v>
      </c>
      <c r="D118" s="143" t="s">
        <v>395</v>
      </c>
      <c r="E118" s="51" t="s">
        <v>19</v>
      </c>
      <c r="F118" s="52" t="s">
        <v>1102</v>
      </c>
      <c r="G118" s="52" t="s">
        <v>27</v>
      </c>
      <c r="H118" s="52" t="s">
        <v>1767</v>
      </c>
      <c r="I118" s="52" t="s">
        <v>27</v>
      </c>
      <c r="J118" s="52" t="s">
        <v>1768</v>
      </c>
      <c r="K118" s="52" t="s">
        <v>27</v>
      </c>
      <c r="L118" s="53">
        <v>248.62122335999999</v>
      </c>
      <c r="M118" s="52" t="s">
        <v>1097</v>
      </c>
      <c r="N118" s="53">
        <v>725439.27954410005</v>
      </c>
      <c r="O118" s="52" t="s">
        <v>1769</v>
      </c>
    </row>
    <row r="119" spans="1:15" ht="26.4" x14ac:dyDescent="0.25">
      <c r="A119" s="52" t="s">
        <v>575</v>
      </c>
      <c r="B119" s="143" t="s">
        <v>87</v>
      </c>
      <c r="C119" s="143" t="s">
        <v>576</v>
      </c>
      <c r="D119" s="143" t="s">
        <v>395</v>
      </c>
      <c r="E119" s="51" t="s">
        <v>19</v>
      </c>
      <c r="F119" s="52" t="s">
        <v>1094</v>
      </c>
      <c r="G119" s="52" t="s">
        <v>27</v>
      </c>
      <c r="H119" s="52" t="s">
        <v>1095</v>
      </c>
      <c r="I119" s="52" t="s">
        <v>27</v>
      </c>
      <c r="J119" s="52" t="s">
        <v>1096</v>
      </c>
      <c r="K119" s="52" t="s">
        <v>27</v>
      </c>
      <c r="L119" s="53">
        <v>246.6</v>
      </c>
      <c r="M119" s="52" t="s">
        <v>1097</v>
      </c>
      <c r="N119" s="53">
        <v>725685.87954410003</v>
      </c>
      <c r="O119" s="52" t="s">
        <v>1770</v>
      </c>
    </row>
    <row r="120" spans="1:15" x14ac:dyDescent="0.25">
      <c r="A120" s="52" t="s">
        <v>1098</v>
      </c>
      <c r="B120" s="143" t="s">
        <v>87</v>
      </c>
      <c r="C120" s="143" t="s">
        <v>1099</v>
      </c>
      <c r="D120" s="143" t="s">
        <v>389</v>
      </c>
      <c r="E120" s="51" t="s">
        <v>490</v>
      </c>
      <c r="F120" s="52" t="s">
        <v>1771</v>
      </c>
      <c r="G120" s="52" t="s">
        <v>27</v>
      </c>
      <c r="H120" s="52" t="s">
        <v>1449</v>
      </c>
      <c r="I120" s="52" t="s">
        <v>27</v>
      </c>
      <c r="J120" s="52" t="s">
        <v>1772</v>
      </c>
      <c r="K120" s="52" t="s">
        <v>27</v>
      </c>
      <c r="L120" s="53">
        <v>244.77519649600001</v>
      </c>
      <c r="M120" s="52" t="s">
        <v>1097</v>
      </c>
      <c r="N120" s="53">
        <v>725930.65474060003</v>
      </c>
      <c r="O120" s="52" t="s">
        <v>1103</v>
      </c>
    </row>
    <row r="121" spans="1:15" ht="26.4" x14ac:dyDescent="0.25">
      <c r="A121" s="52" t="s">
        <v>1121</v>
      </c>
      <c r="B121" s="143" t="s">
        <v>87</v>
      </c>
      <c r="C121" s="143" t="s">
        <v>1122</v>
      </c>
      <c r="D121" s="143" t="s">
        <v>853</v>
      </c>
      <c r="E121" s="51" t="s">
        <v>490</v>
      </c>
      <c r="F121" s="52" t="s">
        <v>1086</v>
      </c>
      <c r="G121" s="52" t="s">
        <v>27</v>
      </c>
      <c r="H121" s="52" t="s">
        <v>1773</v>
      </c>
      <c r="I121" s="52" t="s">
        <v>27</v>
      </c>
      <c r="J121" s="52" t="s">
        <v>1774</v>
      </c>
      <c r="K121" s="52" t="s">
        <v>27</v>
      </c>
      <c r="L121" s="53">
        <v>220.37812398</v>
      </c>
      <c r="M121" s="52" t="s">
        <v>1097</v>
      </c>
      <c r="N121" s="53">
        <v>726151.03286459995</v>
      </c>
      <c r="O121" s="52" t="s">
        <v>1106</v>
      </c>
    </row>
    <row r="122" spans="1:15" x14ac:dyDescent="0.25">
      <c r="A122" s="52" t="s">
        <v>1116</v>
      </c>
      <c r="B122" s="143" t="s">
        <v>87</v>
      </c>
      <c r="C122" s="143" t="s">
        <v>1117</v>
      </c>
      <c r="D122" s="143" t="s">
        <v>1118</v>
      </c>
      <c r="E122" s="51" t="s">
        <v>490</v>
      </c>
      <c r="F122" s="52" t="s">
        <v>1510</v>
      </c>
      <c r="G122" s="52" t="s">
        <v>27</v>
      </c>
      <c r="H122" s="52" t="s">
        <v>1775</v>
      </c>
      <c r="I122" s="52" t="s">
        <v>27</v>
      </c>
      <c r="J122" s="52" t="s">
        <v>1776</v>
      </c>
      <c r="K122" s="52" t="s">
        <v>27</v>
      </c>
      <c r="L122" s="53">
        <v>219.377277873</v>
      </c>
      <c r="M122" s="52" t="s">
        <v>1097</v>
      </c>
      <c r="N122" s="53">
        <v>726370.41014249995</v>
      </c>
      <c r="O122" s="52" t="s">
        <v>1108</v>
      </c>
    </row>
    <row r="123" spans="1:15" x14ac:dyDescent="0.25">
      <c r="A123" s="52" t="s">
        <v>1104</v>
      </c>
      <c r="B123" s="143" t="s">
        <v>87</v>
      </c>
      <c r="C123" s="143" t="s">
        <v>1105</v>
      </c>
      <c r="D123" s="143" t="s">
        <v>389</v>
      </c>
      <c r="E123" s="51" t="s">
        <v>490</v>
      </c>
      <c r="F123" s="52" t="s">
        <v>1777</v>
      </c>
      <c r="G123" s="52" t="s">
        <v>27</v>
      </c>
      <c r="H123" s="52" t="s">
        <v>1449</v>
      </c>
      <c r="I123" s="52" t="s">
        <v>27</v>
      </c>
      <c r="J123" s="52" t="s">
        <v>1778</v>
      </c>
      <c r="K123" s="52" t="s">
        <v>27</v>
      </c>
      <c r="L123" s="53">
        <v>218.28218085</v>
      </c>
      <c r="M123" s="52" t="s">
        <v>1097</v>
      </c>
      <c r="N123" s="53">
        <v>726588.69232340006</v>
      </c>
      <c r="O123" s="52" t="s">
        <v>1110</v>
      </c>
    </row>
    <row r="124" spans="1:15" ht="39.6" x14ac:dyDescent="0.25">
      <c r="A124" s="52" t="s">
        <v>679</v>
      </c>
      <c r="B124" s="143" t="s">
        <v>1373</v>
      </c>
      <c r="C124" s="143" t="s">
        <v>680</v>
      </c>
      <c r="D124" s="143" t="s">
        <v>389</v>
      </c>
      <c r="E124" s="51" t="s">
        <v>390</v>
      </c>
      <c r="F124" s="52" t="s">
        <v>1107</v>
      </c>
      <c r="G124" s="52" t="s">
        <v>27</v>
      </c>
      <c r="H124" s="52" t="s">
        <v>1471</v>
      </c>
      <c r="I124" s="52" t="s">
        <v>27</v>
      </c>
      <c r="J124" s="52" t="s">
        <v>1779</v>
      </c>
      <c r="K124" s="52" t="s">
        <v>27</v>
      </c>
      <c r="L124" s="53">
        <v>216.500336</v>
      </c>
      <c r="M124" s="52" t="s">
        <v>1097</v>
      </c>
      <c r="N124" s="53">
        <v>726805.19265940005</v>
      </c>
      <c r="O124" s="52" t="s">
        <v>1112</v>
      </c>
    </row>
    <row r="125" spans="1:15" ht="26.4" x14ac:dyDescent="0.25">
      <c r="A125" s="52" t="s">
        <v>1126</v>
      </c>
      <c r="B125" s="143" t="s">
        <v>87</v>
      </c>
      <c r="C125" s="143" t="s">
        <v>1127</v>
      </c>
      <c r="D125" s="143" t="s">
        <v>395</v>
      </c>
      <c r="E125" s="51" t="s">
        <v>18</v>
      </c>
      <c r="F125" s="52" t="s">
        <v>1128</v>
      </c>
      <c r="G125" s="52" t="s">
        <v>27</v>
      </c>
      <c r="H125" s="52" t="s">
        <v>1780</v>
      </c>
      <c r="I125" s="52" t="s">
        <v>27</v>
      </c>
      <c r="J125" s="52" t="s">
        <v>1781</v>
      </c>
      <c r="K125" s="52" t="s">
        <v>27</v>
      </c>
      <c r="L125" s="53">
        <v>209.183898204</v>
      </c>
      <c r="M125" s="52" t="s">
        <v>1097</v>
      </c>
      <c r="N125" s="53">
        <v>727014.37655759999</v>
      </c>
      <c r="O125" s="52" t="s">
        <v>1115</v>
      </c>
    </row>
    <row r="126" spans="1:15" ht="26.4" x14ac:dyDescent="0.25">
      <c r="A126" s="52" t="s">
        <v>1129</v>
      </c>
      <c r="B126" s="143" t="s">
        <v>87</v>
      </c>
      <c r="C126" s="143" t="s">
        <v>1130</v>
      </c>
      <c r="D126" s="143" t="s">
        <v>395</v>
      </c>
      <c r="E126" s="51" t="s">
        <v>530</v>
      </c>
      <c r="F126" s="52" t="s">
        <v>1131</v>
      </c>
      <c r="G126" s="52" t="s">
        <v>27</v>
      </c>
      <c r="H126" s="52" t="s">
        <v>1782</v>
      </c>
      <c r="I126" s="52" t="s">
        <v>27</v>
      </c>
      <c r="J126" s="52" t="s">
        <v>1783</v>
      </c>
      <c r="K126" s="52" t="s">
        <v>27</v>
      </c>
      <c r="L126" s="53">
        <v>208.45439999999999</v>
      </c>
      <c r="M126" s="52" t="s">
        <v>1097</v>
      </c>
      <c r="N126" s="53">
        <v>727222.83095760003</v>
      </c>
      <c r="O126" s="52" t="s">
        <v>1120</v>
      </c>
    </row>
    <row r="127" spans="1:15" ht="26.4" x14ac:dyDescent="0.25">
      <c r="A127" s="52" t="s">
        <v>723</v>
      </c>
      <c r="B127" s="143" t="s">
        <v>87</v>
      </c>
      <c r="C127" s="143" t="s">
        <v>724</v>
      </c>
      <c r="D127" s="143" t="s">
        <v>395</v>
      </c>
      <c r="E127" s="51" t="s">
        <v>13</v>
      </c>
      <c r="F127" s="52" t="s">
        <v>1109</v>
      </c>
      <c r="G127" s="52" t="s">
        <v>27</v>
      </c>
      <c r="H127" s="52" t="s">
        <v>1784</v>
      </c>
      <c r="I127" s="52" t="s">
        <v>27</v>
      </c>
      <c r="J127" s="52" t="s">
        <v>1785</v>
      </c>
      <c r="K127" s="52" t="s">
        <v>27</v>
      </c>
      <c r="L127" s="53">
        <v>204.5816136</v>
      </c>
      <c r="M127" s="52" t="s">
        <v>1097</v>
      </c>
      <c r="N127" s="53">
        <v>727427.41257120005</v>
      </c>
      <c r="O127" s="52" t="s">
        <v>1123</v>
      </c>
    </row>
    <row r="128" spans="1:15" x14ac:dyDescent="0.25">
      <c r="A128" s="52" t="s">
        <v>1124</v>
      </c>
      <c r="B128" s="143" t="s">
        <v>87</v>
      </c>
      <c r="C128" s="143" t="s">
        <v>1125</v>
      </c>
      <c r="D128" s="143" t="s">
        <v>389</v>
      </c>
      <c r="E128" s="51" t="s">
        <v>490</v>
      </c>
      <c r="F128" s="52" t="s">
        <v>1786</v>
      </c>
      <c r="G128" s="52" t="s">
        <v>27</v>
      </c>
      <c r="H128" s="52" t="s">
        <v>1787</v>
      </c>
      <c r="I128" s="52" t="s">
        <v>27</v>
      </c>
      <c r="J128" s="52" t="s">
        <v>1788</v>
      </c>
      <c r="K128" s="52" t="s">
        <v>27</v>
      </c>
      <c r="L128" s="53">
        <v>203.24788281599999</v>
      </c>
      <c r="M128" s="52" t="s">
        <v>1097</v>
      </c>
      <c r="N128" s="53">
        <v>727630.660454</v>
      </c>
      <c r="O128" s="52" t="s">
        <v>1789</v>
      </c>
    </row>
    <row r="129" spans="1:15" x14ac:dyDescent="0.25">
      <c r="A129" s="52" t="s">
        <v>1113</v>
      </c>
      <c r="B129" s="143" t="s">
        <v>87</v>
      </c>
      <c r="C129" s="143" t="s">
        <v>1114</v>
      </c>
      <c r="D129" s="143" t="s">
        <v>389</v>
      </c>
      <c r="E129" s="51" t="s">
        <v>490</v>
      </c>
      <c r="F129" s="52" t="s">
        <v>1790</v>
      </c>
      <c r="G129" s="52" t="s">
        <v>27</v>
      </c>
      <c r="H129" s="52" t="s">
        <v>1791</v>
      </c>
      <c r="I129" s="52" t="s">
        <v>27</v>
      </c>
      <c r="J129" s="52" t="s">
        <v>1792</v>
      </c>
      <c r="K129" s="52" t="s">
        <v>27</v>
      </c>
      <c r="L129" s="53">
        <v>198.814278376</v>
      </c>
      <c r="M129" s="52" t="s">
        <v>1097</v>
      </c>
      <c r="N129" s="53">
        <v>727829.47473240003</v>
      </c>
      <c r="O129" s="52" t="s">
        <v>1793</v>
      </c>
    </row>
    <row r="130" spans="1:15" ht="26.4" x14ac:dyDescent="0.25">
      <c r="A130" s="52" t="s">
        <v>801</v>
      </c>
      <c r="B130" s="143" t="s">
        <v>87</v>
      </c>
      <c r="C130" s="143" t="s">
        <v>802</v>
      </c>
      <c r="D130" s="143" t="s">
        <v>395</v>
      </c>
      <c r="E130" s="51" t="s">
        <v>28</v>
      </c>
      <c r="F130" s="52" t="s">
        <v>1111</v>
      </c>
      <c r="G130" s="52" t="s">
        <v>27</v>
      </c>
      <c r="H130" s="52" t="s">
        <v>1794</v>
      </c>
      <c r="I130" s="52" t="s">
        <v>27</v>
      </c>
      <c r="J130" s="52" t="s">
        <v>1795</v>
      </c>
      <c r="K130" s="52" t="s">
        <v>27</v>
      </c>
      <c r="L130" s="53">
        <v>196.5927216</v>
      </c>
      <c r="M130" s="52" t="s">
        <v>1097</v>
      </c>
      <c r="N130" s="53">
        <v>728026.067454</v>
      </c>
      <c r="O130" s="52" t="s">
        <v>1796</v>
      </c>
    </row>
    <row r="131" spans="1:15" ht="39.6" x14ac:dyDescent="0.25">
      <c r="A131" s="52" t="s">
        <v>1136</v>
      </c>
      <c r="B131" s="143" t="s">
        <v>87</v>
      </c>
      <c r="C131" s="143" t="s">
        <v>1137</v>
      </c>
      <c r="D131" s="143" t="s">
        <v>853</v>
      </c>
      <c r="E131" s="51" t="s">
        <v>18</v>
      </c>
      <c r="F131" s="52" t="s">
        <v>1138</v>
      </c>
      <c r="G131" s="52" t="s">
        <v>27</v>
      </c>
      <c r="H131" s="52" t="s">
        <v>1797</v>
      </c>
      <c r="I131" s="52" t="s">
        <v>27</v>
      </c>
      <c r="J131" s="52" t="s">
        <v>1798</v>
      </c>
      <c r="K131" s="52" t="s">
        <v>27</v>
      </c>
      <c r="L131" s="53">
        <v>187.46679138900001</v>
      </c>
      <c r="M131" s="52" t="s">
        <v>1097</v>
      </c>
      <c r="N131" s="53">
        <v>728213.53424539999</v>
      </c>
      <c r="O131" s="52" t="s">
        <v>1799</v>
      </c>
    </row>
    <row r="132" spans="1:15" x14ac:dyDescent="0.25">
      <c r="A132" s="52" t="s">
        <v>1134</v>
      </c>
      <c r="B132" s="143" t="s">
        <v>87</v>
      </c>
      <c r="C132" s="143" t="s">
        <v>1135</v>
      </c>
      <c r="D132" s="143" t="s">
        <v>389</v>
      </c>
      <c r="E132" s="51" t="s">
        <v>490</v>
      </c>
      <c r="F132" s="52" t="s">
        <v>1800</v>
      </c>
      <c r="G132" s="52" t="s">
        <v>27</v>
      </c>
      <c r="H132" s="52" t="s">
        <v>1449</v>
      </c>
      <c r="I132" s="52" t="s">
        <v>27</v>
      </c>
      <c r="J132" s="52" t="s">
        <v>1801</v>
      </c>
      <c r="K132" s="52" t="s">
        <v>27</v>
      </c>
      <c r="L132" s="53">
        <v>172.10616528</v>
      </c>
      <c r="M132" s="52" t="s">
        <v>1133</v>
      </c>
      <c r="N132" s="53">
        <v>728385.6404107</v>
      </c>
      <c r="O132" s="52" t="s">
        <v>1802</v>
      </c>
    </row>
    <row r="133" spans="1:15" ht="39.6" x14ac:dyDescent="0.25">
      <c r="A133" s="52" t="s">
        <v>1143</v>
      </c>
      <c r="B133" s="143" t="s">
        <v>87</v>
      </c>
      <c r="C133" s="143" t="s">
        <v>1144</v>
      </c>
      <c r="D133" s="143" t="s">
        <v>853</v>
      </c>
      <c r="E133" s="51" t="s">
        <v>18</v>
      </c>
      <c r="F133" s="52" t="s">
        <v>1145</v>
      </c>
      <c r="G133" s="52" t="s">
        <v>27</v>
      </c>
      <c r="H133" s="52" t="s">
        <v>1803</v>
      </c>
      <c r="I133" s="52" t="s">
        <v>27</v>
      </c>
      <c r="J133" s="52" t="s">
        <v>1804</v>
      </c>
      <c r="K133" s="52" t="s">
        <v>27</v>
      </c>
      <c r="L133" s="53">
        <v>156.36445047999999</v>
      </c>
      <c r="M133" s="52" t="s">
        <v>1133</v>
      </c>
      <c r="N133" s="53">
        <v>728542.0048612</v>
      </c>
      <c r="O133" s="52" t="s">
        <v>1805</v>
      </c>
    </row>
    <row r="134" spans="1:15" ht="26.4" x14ac:dyDescent="0.25">
      <c r="A134" s="52" t="s">
        <v>491</v>
      </c>
      <c r="B134" s="143" t="s">
        <v>87</v>
      </c>
      <c r="C134" s="143" t="s">
        <v>492</v>
      </c>
      <c r="D134" s="143" t="s">
        <v>395</v>
      </c>
      <c r="E134" s="51" t="s">
        <v>19</v>
      </c>
      <c r="F134" s="52" t="s">
        <v>1140</v>
      </c>
      <c r="G134" s="52" t="s">
        <v>27</v>
      </c>
      <c r="H134" s="52" t="s">
        <v>1806</v>
      </c>
      <c r="I134" s="52" t="s">
        <v>27</v>
      </c>
      <c r="J134" s="52" t="s">
        <v>1807</v>
      </c>
      <c r="K134" s="52" t="s">
        <v>27</v>
      </c>
      <c r="L134" s="53">
        <v>140.90913599999999</v>
      </c>
      <c r="M134" s="52" t="s">
        <v>1133</v>
      </c>
      <c r="N134" s="53">
        <v>728682.91399719997</v>
      </c>
      <c r="O134" s="52" t="s">
        <v>1808</v>
      </c>
    </row>
    <row r="135" spans="1:15" ht="26.4" x14ac:dyDescent="0.25">
      <c r="A135" s="52" t="s">
        <v>565</v>
      </c>
      <c r="B135" s="143" t="s">
        <v>128</v>
      </c>
      <c r="C135" s="143" t="s">
        <v>566</v>
      </c>
      <c r="D135" s="143" t="s">
        <v>395</v>
      </c>
      <c r="E135" s="51" t="s">
        <v>567</v>
      </c>
      <c r="F135" s="52" t="s">
        <v>1141</v>
      </c>
      <c r="G135" s="52" t="s">
        <v>27</v>
      </c>
      <c r="H135" s="52" t="s">
        <v>1809</v>
      </c>
      <c r="I135" s="52" t="s">
        <v>27</v>
      </c>
      <c r="J135" s="52" t="s">
        <v>1810</v>
      </c>
      <c r="K135" s="52" t="s">
        <v>27</v>
      </c>
      <c r="L135" s="53">
        <v>132.125</v>
      </c>
      <c r="M135" s="52" t="s">
        <v>1133</v>
      </c>
      <c r="N135" s="53">
        <v>728815.03899719997</v>
      </c>
      <c r="O135" s="52" t="s">
        <v>1811</v>
      </c>
    </row>
    <row r="136" spans="1:15" ht="39.6" x14ac:dyDescent="0.25">
      <c r="A136" s="52" t="s">
        <v>677</v>
      </c>
      <c r="B136" s="143" t="s">
        <v>1373</v>
      </c>
      <c r="C136" s="143" t="s">
        <v>678</v>
      </c>
      <c r="D136" s="143" t="s">
        <v>389</v>
      </c>
      <c r="E136" s="51" t="s">
        <v>390</v>
      </c>
      <c r="F136" s="52" t="s">
        <v>1142</v>
      </c>
      <c r="G136" s="52" t="s">
        <v>27</v>
      </c>
      <c r="H136" s="52" t="s">
        <v>1647</v>
      </c>
      <c r="I136" s="52" t="s">
        <v>27</v>
      </c>
      <c r="J136" s="52" t="s">
        <v>1812</v>
      </c>
      <c r="K136" s="52" t="s">
        <v>27</v>
      </c>
      <c r="L136" s="53">
        <v>131.76331999999999</v>
      </c>
      <c r="M136" s="52" t="s">
        <v>1133</v>
      </c>
      <c r="N136" s="53">
        <v>728946.8023172</v>
      </c>
      <c r="O136" s="52" t="s">
        <v>1146</v>
      </c>
    </row>
    <row r="137" spans="1:15" ht="39.6" x14ac:dyDescent="0.25">
      <c r="A137" s="52" t="s">
        <v>393</v>
      </c>
      <c r="B137" s="143" t="s">
        <v>1373</v>
      </c>
      <c r="C137" s="143" t="s">
        <v>394</v>
      </c>
      <c r="D137" s="143" t="s">
        <v>395</v>
      </c>
      <c r="E137" s="51" t="s">
        <v>118</v>
      </c>
      <c r="F137" s="52" t="s">
        <v>1139</v>
      </c>
      <c r="G137" s="52" t="s">
        <v>27</v>
      </c>
      <c r="H137" s="52" t="s">
        <v>1813</v>
      </c>
      <c r="I137" s="52" t="s">
        <v>27</v>
      </c>
      <c r="J137" s="52" t="s">
        <v>1814</v>
      </c>
      <c r="K137" s="52" t="s">
        <v>27</v>
      </c>
      <c r="L137" s="53">
        <v>121.2852</v>
      </c>
      <c r="M137" s="52" t="s">
        <v>1133</v>
      </c>
      <c r="N137" s="53">
        <v>729068.08751720004</v>
      </c>
      <c r="O137" s="52" t="s">
        <v>1150</v>
      </c>
    </row>
    <row r="138" spans="1:15" x14ac:dyDescent="0.25">
      <c r="A138" s="52" t="s">
        <v>1156</v>
      </c>
      <c r="B138" s="143" t="s">
        <v>87</v>
      </c>
      <c r="C138" s="143" t="s">
        <v>1157</v>
      </c>
      <c r="D138" s="143" t="s">
        <v>389</v>
      </c>
      <c r="E138" s="51" t="s">
        <v>490</v>
      </c>
      <c r="F138" s="52" t="s">
        <v>1815</v>
      </c>
      <c r="G138" s="52" t="s">
        <v>27</v>
      </c>
      <c r="H138" s="52" t="s">
        <v>1816</v>
      </c>
      <c r="I138" s="52" t="s">
        <v>27</v>
      </c>
      <c r="J138" s="52" t="s">
        <v>1817</v>
      </c>
      <c r="K138" s="52" t="s">
        <v>27</v>
      </c>
      <c r="L138" s="53">
        <v>109.667862402</v>
      </c>
      <c r="M138" s="52" t="s">
        <v>1133</v>
      </c>
      <c r="N138" s="53">
        <v>729177.75537959998</v>
      </c>
      <c r="O138" s="52" t="s">
        <v>1818</v>
      </c>
    </row>
    <row r="139" spans="1:15" ht="39.6" x14ac:dyDescent="0.25">
      <c r="A139" s="52" t="s">
        <v>1147</v>
      </c>
      <c r="B139" s="143" t="s">
        <v>87</v>
      </c>
      <c r="C139" s="143" t="s">
        <v>1148</v>
      </c>
      <c r="D139" s="143" t="s">
        <v>395</v>
      </c>
      <c r="E139" s="51" t="s">
        <v>18</v>
      </c>
      <c r="F139" s="52" t="s">
        <v>1149</v>
      </c>
      <c r="G139" s="52" t="s">
        <v>27</v>
      </c>
      <c r="H139" s="52" t="s">
        <v>1819</v>
      </c>
      <c r="I139" s="52" t="s">
        <v>27</v>
      </c>
      <c r="J139" s="52" t="s">
        <v>1820</v>
      </c>
      <c r="K139" s="52" t="s">
        <v>27</v>
      </c>
      <c r="L139" s="53">
        <v>106.695678</v>
      </c>
      <c r="M139" s="52" t="s">
        <v>1158</v>
      </c>
      <c r="N139" s="53">
        <v>729284.45105759997</v>
      </c>
      <c r="O139" s="52" t="s">
        <v>1152</v>
      </c>
    </row>
    <row r="140" spans="1:15" ht="39.6" x14ac:dyDescent="0.25">
      <c r="A140" s="52" t="s">
        <v>396</v>
      </c>
      <c r="B140" s="143" t="s">
        <v>1373</v>
      </c>
      <c r="C140" s="143" t="s">
        <v>397</v>
      </c>
      <c r="D140" s="143" t="s">
        <v>395</v>
      </c>
      <c r="E140" s="51" t="s">
        <v>118</v>
      </c>
      <c r="F140" s="52" t="s">
        <v>1151</v>
      </c>
      <c r="G140" s="52" t="s">
        <v>27</v>
      </c>
      <c r="H140" s="52" t="s">
        <v>1821</v>
      </c>
      <c r="I140" s="52" t="s">
        <v>27</v>
      </c>
      <c r="J140" s="52" t="s">
        <v>953</v>
      </c>
      <c r="K140" s="52" t="s">
        <v>27</v>
      </c>
      <c r="L140" s="53">
        <v>103.55616000000001</v>
      </c>
      <c r="M140" s="52" t="s">
        <v>1158</v>
      </c>
      <c r="N140" s="53">
        <v>729388.00721760001</v>
      </c>
      <c r="O140" s="52" t="s">
        <v>1822</v>
      </c>
    </row>
    <row r="141" spans="1:15" ht="26.4" x14ac:dyDescent="0.25">
      <c r="A141" s="52" t="s">
        <v>1160</v>
      </c>
      <c r="B141" s="143" t="s">
        <v>87</v>
      </c>
      <c r="C141" s="143" t="s">
        <v>1161</v>
      </c>
      <c r="D141" s="143" t="s">
        <v>853</v>
      </c>
      <c r="E141" s="51" t="s">
        <v>18</v>
      </c>
      <c r="F141" s="52" t="s">
        <v>1043</v>
      </c>
      <c r="G141" s="52" t="s">
        <v>27</v>
      </c>
      <c r="H141" s="52" t="s">
        <v>1823</v>
      </c>
      <c r="I141" s="52" t="s">
        <v>27</v>
      </c>
      <c r="J141" s="52" t="s">
        <v>1824</v>
      </c>
      <c r="K141" s="52" t="s">
        <v>27</v>
      </c>
      <c r="L141" s="53">
        <v>100.09166338</v>
      </c>
      <c r="M141" s="52" t="s">
        <v>1158</v>
      </c>
      <c r="N141" s="53">
        <v>729488.09888099995</v>
      </c>
      <c r="O141" s="52" t="s">
        <v>1159</v>
      </c>
    </row>
    <row r="142" spans="1:15" x14ac:dyDescent="0.25">
      <c r="A142" s="52" t="s">
        <v>540</v>
      </c>
      <c r="B142" s="143" t="s">
        <v>90</v>
      </c>
      <c r="C142" s="143" t="s">
        <v>541</v>
      </c>
      <c r="D142" s="143" t="s">
        <v>395</v>
      </c>
      <c r="E142" s="51" t="s">
        <v>19</v>
      </c>
      <c r="F142" s="52" t="s">
        <v>1166</v>
      </c>
      <c r="G142" s="52" t="s">
        <v>27</v>
      </c>
      <c r="H142" s="52" t="s">
        <v>1167</v>
      </c>
      <c r="I142" s="52" t="s">
        <v>27</v>
      </c>
      <c r="J142" s="52" t="s">
        <v>1168</v>
      </c>
      <c r="K142" s="52" t="s">
        <v>27</v>
      </c>
      <c r="L142" s="53">
        <v>97.847999999999999</v>
      </c>
      <c r="M142" s="52" t="s">
        <v>1158</v>
      </c>
      <c r="N142" s="53">
        <v>729585.94688099995</v>
      </c>
      <c r="O142" s="52" t="s">
        <v>1165</v>
      </c>
    </row>
    <row r="143" spans="1:15" ht="26.4" x14ac:dyDescent="0.25">
      <c r="A143" s="52" t="s">
        <v>1170</v>
      </c>
      <c r="B143" s="143" t="s">
        <v>87</v>
      </c>
      <c r="C143" s="143" t="s">
        <v>1171</v>
      </c>
      <c r="D143" s="143" t="s">
        <v>395</v>
      </c>
      <c r="E143" s="51" t="s">
        <v>19</v>
      </c>
      <c r="F143" s="52" t="s">
        <v>1172</v>
      </c>
      <c r="G143" s="52" t="s">
        <v>27</v>
      </c>
      <c r="H143" s="52" t="s">
        <v>1825</v>
      </c>
      <c r="I143" s="52" t="s">
        <v>27</v>
      </c>
      <c r="J143" s="52" t="s">
        <v>1826</v>
      </c>
      <c r="K143" s="52" t="s">
        <v>27</v>
      </c>
      <c r="L143" s="53">
        <v>97.825193188</v>
      </c>
      <c r="M143" s="52" t="s">
        <v>1158</v>
      </c>
      <c r="N143" s="53">
        <v>729683.77207419998</v>
      </c>
      <c r="O143" s="52" t="s">
        <v>1827</v>
      </c>
    </row>
    <row r="144" spans="1:15" ht="39.6" x14ac:dyDescent="0.25">
      <c r="A144" s="52" t="s">
        <v>1153</v>
      </c>
      <c r="B144" s="143" t="s">
        <v>87</v>
      </c>
      <c r="C144" s="143" t="s">
        <v>1154</v>
      </c>
      <c r="D144" s="143" t="s">
        <v>853</v>
      </c>
      <c r="E144" s="51" t="s">
        <v>18</v>
      </c>
      <c r="F144" s="52" t="s">
        <v>1155</v>
      </c>
      <c r="G144" s="52" t="s">
        <v>27</v>
      </c>
      <c r="H144" s="52" t="s">
        <v>1828</v>
      </c>
      <c r="I144" s="52" t="s">
        <v>27</v>
      </c>
      <c r="J144" s="52" t="s">
        <v>1829</v>
      </c>
      <c r="K144" s="52" t="s">
        <v>27</v>
      </c>
      <c r="L144" s="53">
        <v>97.338218879999999</v>
      </c>
      <c r="M144" s="52" t="s">
        <v>1158</v>
      </c>
      <c r="N144" s="53">
        <v>729781.11029310001</v>
      </c>
      <c r="O144" s="52" t="s">
        <v>1169</v>
      </c>
    </row>
    <row r="145" spans="1:15" x14ac:dyDescent="0.25">
      <c r="A145" s="52" t="s">
        <v>1173</v>
      </c>
      <c r="B145" s="143" t="s">
        <v>87</v>
      </c>
      <c r="C145" s="143" t="s">
        <v>1174</v>
      </c>
      <c r="D145" s="143" t="s">
        <v>395</v>
      </c>
      <c r="E145" s="51" t="s">
        <v>18</v>
      </c>
      <c r="F145" s="52" t="s">
        <v>1175</v>
      </c>
      <c r="G145" s="52" t="s">
        <v>27</v>
      </c>
      <c r="H145" s="52" t="s">
        <v>1830</v>
      </c>
      <c r="I145" s="52" t="s">
        <v>27</v>
      </c>
      <c r="J145" s="52" t="s">
        <v>1831</v>
      </c>
      <c r="K145" s="52" t="s">
        <v>27</v>
      </c>
      <c r="L145" s="53">
        <v>94.725014400000006</v>
      </c>
      <c r="M145" s="52" t="s">
        <v>1158</v>
      </c>
      <c r="N145" s="53">
        <v>729875.83530749998</v>
      </c>
      <c r="O145" s="52" t="s">
        <v>1176</v>
      </c>
    </row>
    <row r="146" spans="1:15" ht="26.4" x14ac:dyDescent="0.25">
      <c r="A146" s="52" t="s">
        <v>1162</v>
      </c>
      <c r="B146" s="143" t="s">
        <v>87</v>
      </c>
      <c r="C146" s="143" t="s">
        <v>1163</v>
      </c>
      <c r="D146" s="143" t="s">
        <v>853</v>
      </c>
      <c r="E146" s="51" t="s">
        <v>18</v>
      </c>
      <c r="F146" s="52" t="s">
        <v>1164</v>
      </c>
      <c r="G146" s="52" t="s">
        <v>27</v>
      </c>
      <c r="H146" s="52" t="s">
        <v>1832</v>
      </c>
      <c r="I146" s="52" t="s">
        <v>27</v>
      </c>
      <c r="J146" s="52" t="s">
        <v>1833</v>
      </c>
      <c r="K146" s="52" t="s">
        <v>27</v>
      </c>
      <c r="L146" s="53">
        <v>91.761573968999997</v>
      </c>
      <c r="M146" s="52" t="s">
        <v>1158</v>
      </c>
      <c r="N146" s="53">
        <v>729967.59688149998</v>
      </c>
      <c r="O146" s="52" t="s">
        <v>1178</v>
      </c>
    </row>
    <row r="147" spans="1:15" ht="26.4" x14ac:dyDescent="0.25">
      <c r="A147" s="52" t="s">
        <v>673</v>
      </c>
      <c r="B147" s="143" t="s">
        <v>87</v>
      </c>
      <c r="C147" s="143" t="s">
        <v>674</v>
      </c>
      <c r="D147" s="143" t="s">
        <v>395</v>
      </c>
      <c r="E147" s="51" t="s">
        <v>19</v>
      </c>
      <c r="F147" s="52" t="s">
        <v>1177</v>
      </c>
      <c r="G147" s="52" t="s">
        <v>27</v>
      </c>
      <c r="H147" s="52" t="s">
        <v>1834</v>
      </c>
      <c r="I147" s="52" t="s">
        <v>27</v>
      </c>
      <c r="J147" s="52" t="s">
        <v>1835</v>
      </c>
      <c r="K147" s="52" t="s">
        <v>27</v>
      </c>
      <c r="L147" s="53">
        <v>90.360488000000004</v>
      </c>
      <c r="M147" s="52" t="s">
        <v>1158</v>
      </c>
      <c r="N147" s="53">
        <v>730057.95736949996</v>
      </c>
      <c r="O147" s="52" t="s">
        <v>1836</v>
      </c>
    </row>
    <row r="148" spans="1:15" x14ac:dyDescent="0.25">
      <c r="A148" s="52" t="s">
        <v>1181</v>
      </c>
      <c r="B148" s="143" t="s">
        <v>87</v>
      </c>
      <c r="C148" s="143" t="s">
        <v>1182</v>
      </c>
      <c r="D148" s="143" t="s">
        <v>389</v>
      </c>
      <c r="E148" s="51" t="s">
        <v>490</v>
      </c>
      <c r="F148" s="52" t="s">
        <v>1837</v>
      </c>
      <c r="G148" s="52" t="s">
        <v>27</v>
      </c>
      <c r="H148" s="52" t="s">
        <v>1838</v>
      </c>
      <c r="I148" s="52" t="s">
        <v>27</v>
      </c>
      <c r="J148" s="52" t="s">
        <v>1839</v>
      </c>
      <c r="K148" s="52" t="s">
        <v>27</v>
      </c>
      <c r="L148" s="53">
        <v>76.147674289999998</v>
      </c>
      <c r="M148" s="52" t="s">
        <v>1158</v>
      </c>
      <c r="N148" s="53">
        <v>730134.10504379997</v>
      </c>
      <c r="O148" s="52" t="s">
        <v>1180</v>
      </c>
    </row>
    <row r="149" spans="1:15" ht="39.6" x14ac:dyDescent="0.25">
      <c r="A149" s="52" t="s">
        <v>683</v>
      </c>
      <c r="B149" s="143" t="s">
        <v>1373</v>
      </c>
      <c r="C149" s="143" t="s">
        <v>684</v>
      </c>
      <c r="D149" s="143" t="s">
        <v>395</v>
      </c>
      <c r="E149" s="51" t="s">
        <v>118</v>
      </c>
      <c r="F149" s="52" t="s">
        <v>1179</v>
      </c>
      <c r="G149" s="52" t="s">
        <v>27</v>
      </c>
      <c r="H149" s="52" t="s">
        <v>1840</v>
      </c>
      <c r="I149" s="52" t="s">
        <v>27</v>
      </c>
      <c r="J149" s="52" t="s">
        <v>1841</v>
      </c>
      <c r="K149" s="52" t="s">
        <v>27</v>
      </c>
      <c r="L149" s="53">
        <v>72.552918000000005</v>
      </c>
      <c r="M149" s="52" t="s">
        <v>1158</v>
      </c>
      <c r="N149" s="53">
        <v>730206.6579618</v>
      </c>
      <c r="O149" s="52" t="s">
        <v>1183</v>
      </c>
    </row>
    <row r="150" spans="1:15" ht="26.4" x14ac:dyDescent="0.25">
      <c r="A150" s="52" t="s">
        <v>531</v>
      </c>
      <c r="B150" s="143" t="s">
        <v>87</v>
      </c>
      <c r="C150" s="143" t="s">
        <v>532</v>
      </c>
      <c r="D150" s="143" t="s">
        <v>395</v>
      </c>
      <c r="E150" s="51" t="s">
        <v>19</v>
      </c>
      <c r="F150" s="52" t="s">
        <v>1186</v>
      </c>
      <c r="G150" s="52" t="s">
        <v>27</v>
      </c>
      <c r="H150" s="52" t="s">
        <v>1842</v>
      </c>
      <c r="I150" s="52" t="s">
        <v>27</v>
      </c>
      <c r="J150" s="52" t="s">
        <v>1843</v>
      </c>
      <c r="K150" s="52" t="s">
        <v>27</v>
      </c>
      <c r="L150" s="53">
        <v>68.849999999999994</v>
      </c>
      <c r="M150" s="52" t="s">
        <v>1158</v>
      </c>
      <c r="N150" s="53">
        <v>730275.50796179997</v>
      </c>
      <c r="O150" s="52" t="s">
        <v>1185</v>
      </c>
    </row>
    <row r="151" spans="1:15" ht="26.4" x14ac:dyDescent="0.25">
      <c r="A151" s="52" t="s">
        <v>1195</v>
      </c>
      <c r="B151" s="143" t="s">
        <v>87</v>
      </c>
      <c r="C151" s="143" t="s">
        <v>1196</v>
      </c>
      <c r="D151" s="143" t="s">
        <v>395</v>
      </c>
      <c r="E151" s="51" t="s">
        <v>18</v>
      </c>
      <c r="F151" s="52" t="s">
        <v>1197</v>
      </c>
      <c r="G151" s="52" t="s">
        <v>27</v>
      </c>
      <c r="H151" s="52" t="s">
        <v>1844</v>
      </c>
      <c r="I151" s="52" t="s">
        <v>27</v>
      </c>
      <c r="J151" s="52" t="s">
        <v>1845</v>
      </c>
      <c r="K151" s="52" t="s">
        <v>27</v>
      </c>
      <c r="L151" s="53">
        <v>66.062092320000005</v>
      </c>
      <c r="M151" s="52" t="s">
        <v>1158</v>
      </c>
      <c r="N151" s="53">
        <v>730341.57005410001</v>
      </c>
      <c r="O151" s="52" t="s">
        <v>1187</v>
      </c>
    </row>
    <row r="152" spans="1:15" ht="26.4" x14ac:dyDescent="0.25">
      <c r="A152" s="52" t="s">
        <v>823</v>
      </c>
      <c r="B152" s="143" t="s">
        <v>87</v>
      </c>
      <c r="C152" s="143" t="s">
        <v>824</v>
      </c>
      <c r="D152" s="143" t="s">
        <v>395</v>
      </c>
      <c r="E152" s="51" t="s">
        <v>18</v>
      </c>
      <c r="F152" s="52" t="s">
        <v>1188</v>
      </c>
      <c r="G152" s="52" t="s">
        <v>27</v>
      </c>
      <c r="H152" s="52" t="s">
        <v>1846</v>
      </c>
      <c r="I152" s="52" t="s">
        <v>27</v>
      </c>
      <c r="J152" s="52" t="s">
        <v>1847</v>
      </c>
      <c r="K152" s="52" t="s">
        <v>27</v>
      </c>
      <c r="L152" s="53">
        <v>65.593440000000001</v>
      </c>
      <c r="M152" s="52" t="s">
        <v>1158</v>
      </c>
      <c r="N152" s="53">
        <v>730407.16349409998</v>
      </c>
      <c r="O152" s="52" t="s">
        <v>1189</v>
      </c>
    </row>
    <row r="153" spans="1:15" x14ac:dyDescent="0.25">
      <c r="A153" s="52" t="s">
        <v>538</v>
      </c>
      <c r="B153" s="143" t="s">
        <v>90</v>
      </c>
      <c r="C153" s="143" t="s">
        <v>539</v>
      </c>
      <c r="D153" s="143" t="s">
        <v>395</v>
      </c>
      <c r="E153" s="51" t="s">
        <v>19</v>
      </c>
      <c r="F153" s="52" t="s">
        <v>1193</v>
      </c>
      <c r="G153" s="52" t="s">
        <v>27</v>
      </c>
      <c r="H153" s="52" t="s">
        <v>1848</v>
      </c>
      <c r="I153" s="52" t="s">
        <v>27</v>
      </c>
      <c r="J153" s="52" t="s">
        <v>1849</v>
      </c>
      <c r="K153" s="52" t="s">
        <v>27</v>
      </c>
      <c r="L153" s="53">
        <v>62.9208</v>
      </c>
      <c r="M153" s="52" t="s">
        <v>1158</v>
      </c>
      <c r="N153" s="53">
        <v>730470.08429409994</v>
      </c>
      <c r="O153" s="52" t="s">
        <v>1194</v>
      </c>
    </row>
    <row r="154" spans="1:15" x14ac:dyDescent="0.25">
      <c r="A154" s="52" t="s">
        <v>819</v>
      </c>
      <c r="B154" s="143" t="s">
        <v>87</v>
      </c>
      <c r="C154" s="143" t="s">
        <v>820</v>
      </c>
      <c r="D154" s="143" t="s">
        <v>395</v>
      </c>
      <c r="E154" s="51" t="s">
        <v>28</v>
      </c>
      <c r="F154" s="52" t="s">
        <v>1184</v>
      </c>
      <c r="G154" s="52" t="s">
        <v>27</v>
      </c>
      <c r="H154" s="52" t="s">
        <v>1850</v>
      </c>
      <c r="I154" s="52" t="s">
        <v>27</v>
      </c>
      <c r="J154" s="52" t="s">
        <v>1851</v>
      </c>
      <c r="K154" s="52" t="s">
        <v>27</v>
      </c>
      <c r="L154" s="53">
        <v>62.684159999999999</v>
      </c>
      <c r="M154" s="52" t="s">
        <v>1158</v>
      </c>
      <c r="N154" s="53">
        <v>730532.76845410001</v>
      </c>
      <c r="O154" s="52" t="s">
        <v>1198</v>
      </c>
    </row>
    <row r="155" spans="1:15" ht="39.6" x14ac:dyDescent="0.25">
      <c r="A155" s="52" t="s">
        <v>1190</v>
      </c>
      <c r="B155" s="143" t="s">
        <v>87</v>
      </c>
      <c r="C155" s="143" t="s">
        <v>1191</v>
      </c>
      <c r="D155" s="143" t="s">
        <v>853</v>
      </c>
      <c r="E155" s="51" t="s">
        <v>18</v>
      </c>
      <c r="F155" s="52" t="s">
        <v>1192</v>
      </c>
      <c r="G155" s="52" t="s">
        <v>27</v>
      </c>
      <c r="H155" s="52" t="s">
        <v>1852</v>
      </c>
      <c r="I155" s="52" t="s">
        <v>27</v>
      </c>
      <c r="J155" s="52" t="s">
        <v>1853</v>
      </c>
      <c r="K155" s="52" t="s">
        <v>27</v>
      </c>
      <c r="L155" s="53">
        <v>57.097934375999998</v>
      </c>
      <c r="M155" s="52" t="s">
        <v>1158</v>
      </c>
      <c r="N155" s="53">
        <v>730589.86638849997</v>
      </c>
      <c r="O155" s="52" t="s">
        <v>1198</v>
      </c>
    </row>
    <row r="156" spans="1:15" ht="39.6" x14ac:dyDescent="0.25">
      <c r="A156" s="52" t="s">
        <v>401</v>
      </c>
      <c r="B156" s="143" t="s">
        <v>1373</v>
      </c>
      <c r="C156" s="143" t="s">
        <v>402</v>
      </c>
      <c r="D156" s="143" t="s">
        <v>395</v>
      </c>
      <c r="E156" s="51" t="s">
        <v>13</v>
      </c>
      <c r="F156" s="52" t="s">
        <v>1199</v>
      </c>
      <c r="G156" s="52" t="s">
        <v>27</v>
      </c>
      <c r="H156" s="52" t="s">
        <v>1854</v>
      </c>
      <c r="I156" s="52" t="s">
        <v>27</v>
      </c>
      <c r="J156" s="52" t="s">
        <v>1855</v>
      </c>
      <c r="K156" s="52" t="s">
        <v>27</v>
      </c>
      <c r="L156" s="53">
        <v>56.384409599999998</v>
      </c>
      <c r="M156" s="52" t="s">
        <v>1158</v>
      </c>
      <c r="N156" s="53">
        <v>730646.25079810002</v>
      </c>
      <c r="O156" s="52" t="s">
        <v>1200</v>
      </c>
    </row>
    <row r="157" spans="1:15" ht="26.4" x14ac:dyDescent="0.25">
      <c r="A157" s="52" t="s">
        <v>1201</v>
      </c>
      <c r="B157" s="143" t="s">
        <v>87</v>
      </c>
      <c r="C157" s="143" t="s">
        <v>1202</v>
      </c>
      <c r="D157" s="143" t="s">
        <v>853</v>
      </c>
      <c r="E157" s="51" t="s">
        <v>490</v>
      </c>
      <c r="F157" s="52" t="s">
        <v>1203</v>
      </c>
      <c r="G157" s="52" t="s">
        <v>27</v>
      </c>
      <c r="H157" s="52" t="s">
        <v>1075</v>
      </c>
      <c r="I157" s="52" t="s">
        <v>27</v>
      </c>
      <c r="J157" s="52" t="s">
        <v>1856</v>
      </c>
      <c r="K157" s="52" t="s">
        <v>27</v>
      </c>
      <c r="L157" s="53">
        <v>53.538684885000002</v>
      </c>
      <c r="M157" s="52" t="s">
        <v>1158</v>
      </c>
      <c r="N157" s="53">
        <v>730699.78948299994</v>
      </c>
      <c r="O157" s="52" t="s">
        <v>1206</v>
      </c>
    </row>
    <row r="158" spans="1:15" ht="26.4" x14ac:dyDescent="0.25">
      <c r="A158" s="52" t="s">
        <v>1204</v>
      </c>
      <c r="B158" s="143" t="s">
        <v>87</v>
      </c>
      <c r="C158" s="143" t="s">
        <v>1205</v>
      </c>
      <c r="D158" s="143" t="s">
        <v>853</v>
      </c>
      <c r="E158" s="51" t="s">
        <v>490</v>
      </c>
      <c r="F158" s="52" t="s">
        <v>1857</v>
      </c>
      <c r="G158" s="52" t="s">
        <v>27</v>
      </c>
      <c r="H158" s="52" t="s">
        <v>1858</v>
      </c>
      <c r="I158" s="52" t="s">
        <v>27</v>
      </c>
      <c r="J158" s="52" t="s">
        <v>1859</v>
      </c>
      <c r="K158" s="52" t="s">
        <v>27</v>
      </c>
      <c r="L158" s="53">
        <v>43.429007519999999</v>
      </c>
      <c r="M158" s="52" t="s">
        <v>1158</v>
      </c>
      <c r="N158" s="53">
        <v>730743.2184905</v>
      </c>
      <c r="O158" s="52" t="s">
        <v>1206</v>
      </c>
    </row>
    <row r="159" spans="1:15" ht="26.4" x14ac:dyDescent="0.25">
      <c r="A159" s="52" t="s">
        <v>1207</v>
      </c>
      <c r="B159" s="143" t="s">
        <v>87</v>
      </c>
      <c r="C159" s="143" t="s">
        <v>1208</v>
      </c>
      <c r="D159" s="143" t="s">
        <v>853</v>
      </c>
      <c r="E159" s="51" t="s">
        <v>490</v>
      </c>
      <c r="F159" s="52" t="s">
        <v>1857</v>
      </c>
      <c r="G159" s="52" t="s">
        <v>27</v>
      </c>
      <c r="H159" s="52" t="s">
        <v>1858</v>
      </c>
      <c r="I159" s="52" t="s">
        <v>27</v>
      </c>
      <c r="J159" s="52" t="s">
        <v>1859</v>
      </c>
      <c r="K159" s="52" t="s">
        <v>27</v>
      </c>
      <c r="L159" s="53">
        <v>43.429007519999999</v>
      </c>
      <c r="M159" s="52" t="s">
        <v>1158</v>
      </c>
      <c r="N159" s="53">
        <v>730786.64749799995</v>
      </c>
      <c r="O159" s="52" t="s">
        <v>1209</v>
      </c>
    </row>
    <row r="160" spans="1:15" x14ac:dyDescent="0.25">
      <c r="A160" s="52" t="s">
        <v>528</v>
      </c>
      <c r="B160" s="143" t="s">
        <v>87</v>
      </c>
      <c r="C160" s="143" t="s">
        <v>529</v>
      </c>
      <c r="D160" s="143" t="s">
        <v>395</v>
      </c>
      <c r="E160" s="51" t="s">
        <v>530</v>
      </c>
      <c r="F160" s="52" t="s">
        <v>1210</v>
      </c>
      <c r="G160" s="52" t="s">
        <v>27</v>
      </c>
      <c r="H160" s="52" t="s">
        <v>1075</v>
      </c>
      <c r="I160" s="52" t="s">
        <v>27</v>
      </c>
      <c r="J160" s="52" t="s">
        <v>1860</v>
      </c>
      <c r="K160" s="52" t="s">
        <v>27</v>
      </c>
      <c r="L160" s="53">
        <v>43.174458760999997</v>
      </c>
      <c r="M160" s="52" t="s">
        <v>1158</v>
      </c>
      <c r="N160" s="53">
        <v>730829.82195679995</v>
      </c>
      <c r="O160" s="52" t="s">
        <v>1213</v>
      </c>
    </row>
    <row r="161" spans="1:15" x14ac:dyDescent="0.25">
      <c r="A161" s="52" t="s">
        <v>1214</v>
      </c>
      <c r="B161" s="143" t="s">
        <v>87</v>
      </c>
      <c r="C161" s="143" t="s">
        <v>1215</v>
      </c>
      <c r="D161" s="143" t="s">
        <v>389</v>
      </c>
      <c r="E161" s="51" t="s">
        <v>490</v>
      </c>
      <c r="F161" s="52" t="s">
        <v>1861</v>
      </c>
      <c r="G161" s="52" t="s">
        <v>27</v>
      </c>
      <c r="H161" s="52" t="s">
        <v>1862</v>
      </c>
      <c r="I161" s="52" t="s">
        <v>27</v>
      </c>
      <c r="J161" s="52" t="s">
        <v>1863</v>
      </c>
      <c r="K161" s="52" t="s">
        <v>27</v>
      </c>
      <c r="L161" s="53">
        <v>39.332489574999997</v>
      </c>
      <c r="M161" s="52" t="s">
        <v>1158</v>
      </c>
      <c r="N161" s="53">
        <v>730869.1544464</v>
      </c>
      <c r="O161" s="52" t="s">
        <v>1213</v>
      </c>
    </row>
    <row r="162" spans="1:15" ht="26.4" x14ac:dyDescent="0.25">
      <c r="A162" s="52" t="s">
        <v>495</v>
      </c>
      <c r="B162" s="143" t="s">
        <v>87</v>
      </c>
      <c r="C162" s="143" t="s">
        <v>496</v>
      </c>
      <c r="D162" s="143" t="s">
        <v>395</v>
      </c>
      <c r="E162" s="51" t="s">
        <v>18</v>
      </c>
      <c r="F162" s="52" t="s">
        <v>1211</v>
      </c>
      <c r="G162" s="52" t="s">
        <v>27</v>
      </c>
      <c r="H162" s="52" t="s">
        <v>1864</v>
      </c>
      <c r="I162" s="52" t="s">
        <v>27</v>
      </c>
      <c r="J162" s="52" t="s">
        <v>1865</v>
      </c>
      <c r="K162" s="52" t="s">
        <v>27</v>
      </c>
      <c r="L162" s="53">
        <v>38.277791999999998</v>
      </c>
      <c r="M162" s="52" t="s">
        <v>1158</v>
      </c>
      <c r="N162" s="53">
        <v>730907.43223839998</v>
      </c>
      <c r="O162" s="52" t="s">
        <v>1216</v>
      </c>
    </row>
    <row r="163" spans="1:15" ht="26.4" x14ac:dyDescent="0.25">
      <c r="A163" s="52" t="s">
        <v>493</v>
      </c>
      <c r="B163" s="143" t="s">
        <v>87</v>
      </c>
      <c r="C163" s="143" t="s">
        <v>494</v>
      </c>
      <c r="D163" s="143" t="s">
        <v>395</v>
      </c>
      <c r="E163" s="51" t="s">
        <v>18</v>
      </c>
      <c r="F163" s="52" t="s">
        <v>1211</v>
      </c>
      <c r="G163" s="52" t="s">
        <v>27</v>
      </c>
      <c r="H163" s="52" t="s">
        <v>1866</v>
      </c>
      <c r="I163" s="52" t="s">
        <v>27</v>
      </c>
      <c r="J163" s="52" t="s">
        <v>1867</v>
      </c>
      <c r="K163" s="52" t="s">
        <v>27</v>
      </c>
      <c r="L163" s="53">
        <v>37.015272000000003</v>
      </c>
      <c r="M163" s="52" t="s">
        <v>1158</v>
      </c>
      <c r="N163" s="53">
        <v>730944.44751039997</v>
      </c>
      <c r="O163" s="52" t="s">
        <v>1216</v>
      </c>
    </row>
    <row r="164" spans="1:15" ht="26.4" x14ac:dyDescent="0.25">
      <c r="A164" s="52" t="s">
        <v>1217</v>
      </c>
      <c r="B164" s="143" t="s">
        <v>87</v>
      </c>
      <c r="C164" s="143" t="s">
        <v>1218</v>
      </c>
      <c r="D164" s="143" t="s">
        <v>395</v>
      </c>
      <c r="E164" s="51" t="s">
        <v>18</v>
      </c>
      <c r="F164" s="52" t="s">
        <v>1219</v>
      </c>
      <c r="G164" s="52" t="s">
        <v>27</v>
      </c>
      <c r="H164" s="52" t="s">
        <v>1868</v>
      </c>
      <c r="I164" s="52" t="s">
        <v>27</v>
      </c>
      <c r="J164" s="52" t="s">
        <v>1869</v>
      </c>
      <c r="K164" s="52" t="s">
        <v>27</v>
      </c>
      <c r="L164" s="53">
        <v>33.266802030000001</v>
      </c>
      <c r="M164" s="52" t="s">
        <v>1212</v>
      </c>
      <c r="N164" s="53">
        <v>730977.71431239997</v>
      </c>
      <c r="O164" s="52" t="s">
        <v>1223</v>
      </c>
    </row>
    <row r="165" spans="1:15" ht="26.4" x14ac:dyDescent="0.25">
      <c r="A165" s="52" t="s">
        <v>1224</v>
      </c>
      <c r="B165" s="143" t="s">
        <v>87</v>
      </c>
      <c r="C165" s="143" t="s">
        <v>1225</v>
      </c>
      <c r="D165" s="143" t="s">
        <v>395</v>
      </c>
      <c r="E165" s="51" t="s">
        <v>18</v>
      </c>
      <c r="F165" s="52" t="s">
        <v>1226</v>
      </c>
      <c r="G165" s="52" t="s">
        <v>27</v>
      </c>
      <c r="H165" s="52" t="s">
        <v>1870</v>
      </c>
      <c r="I165" s="52" t="s">
        <v>27</v>
      </c>
      <c r="J165" s="52" t="s">
        <v>1871</v>
      </c>
      <c r="K165" s="52" t="s">
        <v>27</v>
      </c>
      <c r="L165" s="53">
        <v>28.162788641999999</v>
      </c>
      <c r="M165" s="52" t="s">
        <v>1212</v>
      </c>
      <c r="N165" s="53">
        <v>731005.87710100005</v>
      </c>
      <c r="O165" s="52" t="s">
        <v>1223</v>
      </c>
    </row>
    <row r="166" spans="1:15" x14ac:dyDescent="0.25">
      <c r="A166" s="52" t="s">
        <v>1220</v>
      </c>
      <c r="B166" s="143" t="s">
        <v>87</v>
      </c>
      <c r="C166" s="143" t="s">
        <v>1221</v>
      </c>
      <c r="D166" s="143" t="s">
        <v>389</v>
      </c>
      <c r="E166" s="51" t="s">
        <v>490</v>
      </c>
      <c r="F166" s="52" t="s">
        <v>1872</v>
      </c>
      <c r="G166" s="52" t="s">
        <v>27</v>
      </c>
      <c r="H166" s="52" t="s">
        <v>1454</v>
      </c>
      <c r="I166" s="52" t="s">
        <v>27</v>
      </c>
      <c r="J166" s="52" t="s">
        <v>1873</v>
      </c>
      <c r="K166" s="52" t="s">
        <v>27</v>
      </c>
      <c r="L166" s="53">
        <v>27.762434658</v>
      </c>
      <c r="M166" s="52" t="s">
        <v>1212</v>
      </c>
      <c r="N166" s="53">
        <v>731033.63953569997</v>
      </c>
      <c r="O166" s="52" t="s">
        <v>1223</v>
      </c>
    </row>
    <row r="167" spans="1:15" x14ac:dyDescent="0.25">
      <c r="A167" s="52" t="s">
        <v>671</v>
      </c>
      <c r="B167" s="143" t="s">
        <v>87</v>
      </c>
      <c r="C167" s="143" t="s">
        <v>672</v>
      </c>
      <c r="D167" s="143" t="s">
        <v>395</v>
      </c>
      <c r="E167" s="51" t="s">
        <v>28</v>
      </c>
      <c r="F167" s="52" t="s">
        <v>1222</v>
      </c>
      <c r="G167" s="52" t="s">
        <v>27</v>
      </c>
      <c r="H167" s="52" t="s">
        <v>1680</v>
      </c>
      <c r="I167" s="52" t="s">
        <v>27</v>
      </c>
      <c r="J167" s="52" t="s">
        <v>1874</v>
      </c>
      <c r="K167" s="52" t="s">
        <v>27</v>
      </c>
      <c r="L167" s="53">
        <v>26.026523000000001</v>
      </c>
      <c r="M167" s="52" t="s">
        <v>1212</v>
      </c>
      <c r="N167" s="53">
        <v>731059.66605869995</v>
      </c>
      <c r="O167" s="52" t="s">
        <v>1230</v>
      </c>
    </row>
    <row r="168" spans="1:15" ht="39.6" x14ac:dyDescent="0.25">
      <c r="A168" s="52" t="s">
        <v>1227</v>
      </c>
      <c r="B168" s="143" t="s">
        <v>87</v>
      </c>
      <c r="C168" s="143" t="s">
        <v>1228</v>
      </c>
      <c r="D168" s="143" t="s">
        <v>395</v>
      </c>
      <c r="E168" s="51" t="s">
        <v>18</v>
      </c>
      <c r="F168" s="52" t="s">
        <v>1211</v>
      </c>
      <c r="G168" s="52" t="s">
        <v>27</v>
      </c>
      <c r="H168" s="52" t="s">
        <v>1875</v>
      </c>
      <c r="I168" s="52" t="s">
        <v>27</v>
      </c>
      <c r="J168" s="52" t="s">
        <v>1876</v>
      </c>
      <c r="K168" s="52" t="s">
        <v>27</v>
      </c>
      <c r="L168" s="53">
        <v>20.992608000000001</v>
      </c>
      <c r="M168" s="52" t="s">
        <v>1212</v>
      </c>
      <c r="N168" s="53">
        <v>731080.65866670001</v>
      </c>
      <c r="O168" s="52" t="s">
        <v>1230</v>
      </c>
    </row>
    <row r="169" spans="1:15" x14ac:dyDescent="0.25">
      <c r="A169" s="52" t="s">
        <v>542</v>
      </c>
      <c r="B169" s="143" t="s">
        <v>90</v>
      </c>
      <c r="C169" s="143" t="s">
        <v>543</v>
      </c>
      <c r="D169" s="143" t="s">
        <v>395</v>
      </c>
      <c r="E169" s="51" t="s">
        <v>544</v>
      </c>
      <c r="F169" s="52" t="s">
        <v>1229</v>
      </c>
      <c r="G169" s="52" t="s">
        <v>27</v>
      </c>
      <c r="H169" s="52" t="s">
        <v>1877</v>
      </c>
      <c r="I169" s="52" t="s">
        <v>27</v>
      </c>
      <c r="J169" s="52" t="s">
        <v>1878</v>
      </c>
      <c r="K169" s="52" t="s">
        <v>27</v>
      </c>
      <c r="L169" s="53">
        <v>20.228400000000001</v>
      </c>
      <c r="M169" s="52" t="s">
        <v>1212</v>
      </c>
      <c r="N169" s="53">
        <v>731100.88706670003</v>
      </c>
      <c r="O169" s="52" t="s">
        <v>1230</v>
      </c>
    </row>
    <row r="170" spans="1:15" x14ac:dyDescent="0.25">
      <c r="A170" s="52" t="s">
        <v>821</v>
      </c>
      <c r="B170" s="143" t="s">
        <v>87</v>
      </c>
      <c r="C170" s="143" t="s">
        <v>822</v>
      </c>
      <c r="D170" s="143" t="s">
        <v>395</v>
      </c>
      <c r="E170" s="51" t="s">
        <v>28</v>
      </c>
      <c r="F170" s="52" t="s">
        <v>1231</v>
      </c>
      <c r="G170" s="52" t="s">
        <v>27</v>
      </c>
      <c r="H170" s="52" t="s">
        <v>1879</v>
      </c>
      <c r="I170" s="52" t="s">
        <v>27</v>
      </c>
      <c r="J170" s="52" t="s">
        <v>1880</v>
      </c>
      <c r="K170" s="52" t="s">
        <v>27</v>
      </c>
      <c r="L170" s="53">
        <v>17.967300000000002</v>
      </c>
      <c r="M170" s="52" t="s">
        <v>1212</v>
      </c>
      <c r="N170" s="53">
        <v>731118.85436670005</v>
      </c>
      <c r="O170" s="52" t="s">
        <v>1242</v>
      </c>
    </row>
    <row r="171" spans="1:15" ht="26.4" x14ac:dyDescent="0.25">
      <c r="A171" s="52" t="s">
        <v>1238</v>
      </c>
      <c r="B171" s="143" t="s">
        <v>87</v>
      </c>
      <c r="C171" s="143" t="s">
        <v>1239</v>
      </c>
      <c r="D171" s="143" t="s">
        <v>395</v>
      </c>
      <c r="E171" s="51" t="s">
        <v>1240</v>
      </c>
      <c r="F171" s="52" t="s">
        <v>1241</v>
      </c>
      <c r="G171" s="52" t="s">
        <v>27</v>
      </c>
      <c r="H171" s="52" t="s">
        <v>1881</v>
      </c>
      <c r="I171" s="52" t="s">
        <v>27</v>
      </c>
      <c r="J171" s="52" t="s">
        <v>1882</v>
      </c>
      <c r="K171" s="52" t="s">
        <v>27</v>
      </c>
      <c r="L171" s="53">
        <v>15.748250327999999</v>
      </c>
      <c r="M171" s="52" t="s">
        <v>1212</v>
      </c>
      <c r="N171" s="53">
        <v>731134.602617</v>
      </c>
      <c r="O171" s="52" t="s">
        <v>1242</v>
      </c>
    </row>
    <row r="172" spans="1:15" ht="26.4" x14ac:dyDescent="0.25">
      <c r="A172" s="52" t="s">
        <v>1232</v>
      </c>
      <c r="B172" s="143" t="s">
        <v>87</v>
      </c>
      <c r="C172" s="143" t="s">
        <v>1233</v>
      </c>
      <c r="D172" s="143" t="s">
        <v>853</v>
      </c>
      <c r="E172" s="51" t="s">
        <v>18</v>
      </c>
      <c r="F172" s="52" t="s">
        <v>1234</v>
      </c>
      <c r="G172" s="52" t="s">
        <v>27</v>
      </c>
      <c r="H172" s="52" t="s">
        <v>1883</v>
      </c>
      <c r="I172" s="52" t="s">
        <v>27</v>
      </c>
      <c r="J172" s="52" t="s">
        <v>1884</v>
      </c>
      <c r="K172" s="52" t="s">
        <v>27</v>
      </c>
      <c r="L172" s="53">
        <v>15.221500020000001</v>
      </c>
      <c r="M172" s="52" t="s">
        <v>1212</v>
      </c>
      <c r="N172" s="53">
        <v>731149.82411699998</v>
      </c>
      <c r="O172" s="52" t="s">
        <v>1242</v>
      </c>
    </row>
    <row r="173" spans="1:15" x14ac:dyDescent="0.25">
      <c r="A173" s="52" t="s">
        <v>1243</v>
      </c>
      <c r="B173" s="143" t="s">
        <v>87</v>
      </c>
      <c r="C173" s="143" t="s">
        <v>1244</v>
      </c>
      <c r="D173" s="143" t="s">
        <v>395</v>
      </c>
      <c r="E173" s="51" t="s">
        <v>28</v>
      </c>
      <c r="F173" s="52" t="s">
        <v>1245</v>
      </c>
      <c r="G173" s="52" t="s">
        <v>27</v>
      </c>
      <c r="H173" s="52" t="s">
        <v>1885</v>
      </c>
      <c r="I173" s="52" t="s">
        <v>27</v>
      </c>
      <c r="J173" s="52" t="s">
        <v>1886</v>
      </c>
      <c r="K173" s="52" t="s">
        <v>27</v>
      </c>
      <c r="L173" s="53">
        <v>14.315759586</v>
      </c>
      <c r="M173" s="52" t="s">
        <v>1212</v>
      </c>
      <c r="N173" s="53">
        <v>731164.13987660001</v>
      </c>
      <c r="O173" s="52" t="s">
        <v>1242</v>
      </c>
    </row>
    <row r="174" spans="1:15" ht="39.6" x14ac:dyDescent="0.25">
      <c r="A174" s="52" t="s">
        <v>1246</v>
      </c>
      <c r="B174" s="143" t="s">
        <v>87</v>
      </c>
      <c r="C174" s="143" t="s">
        <v>1247</v>
      </c>
      <c r="D174" s="143" t="s">
        <v>853</v>
      </c>
      <c r="E174" s="51" t="s">
        <v>18</v>
      </c>
      <c r="F174" s="52" t="s">
        <v>1248</v>
      </c>
      <c r="G174" s="52" t="s">
        <v>27</v>
      </c>
      <c r="H174" s="52" t="s">
        <v>1887</v>
      </c>
      <c r="I174" s="52" t="s">
        <v>27</v>
      </c>
      <c r="J174" s="52" t="s">
        <v>1888</v>
      </c>
      <c r="K174" s="52" t="s">
        <v>27</v>
      </c>
      <c r="L174" s="53">
        <v>13.810431504</v>
      </c>
      <c r="M174" s="52" t="s">
        <v>1212</v>
      </c>
      <c r="N174" s="53">
        <v>731177.95030809997</v>
      </c>
      <c r="O174" s="52" t="s">
        <v>1242</v>
      </c>
    </row>
    <row r="175" spans="1:15" x14ac:dyDescent="0.25">
      <c r="A175" s="52" t="s">
        <v>1235</v>
      </c>
      <c r="B175" s="143" t="s">
        <v>87</v>
      </c>
      <c r="C175" s="143" t="s">
        <v>1236</v>
      </c>
      <c r="D175" s="143" t="s">
        <v>395</v>
      </c>
      <c r="E175" s="51" t="s">
        <v>19</v>
      </c>
      <c r="F175" s="52" t="s">
        <v>1237</v>
      </c>
      <c r="G175" s="52" t="s">
        <v>27</v>
      </c>
      <c r="H175" s="52" t="s">
        <v>1889</v>
      </c>
      <c r="I175" s="52" t="s">
        <v>27</v>
      </c>
      <c r="J175" s="52" t="s">
        <v>1890</v>
      </c>
      <c r="K175" s="52" t="s">
        <v>27</v>
      </c>
      <c r="L175" s="53">
        <v>13.340729376000001</v>
      </c>
      <c r="M175" s="52" t="s">
        <v>1212</v>
      </c>
      <c r="N175" s="53">
        <v>731191.29103750002</v>
      </c>
      <c r="O175" s="52" t="s">
        <v>1254</v>
      </c>
    </row>
    <row r="176" spans="1:15" ht="39.6" x14ac:dyDescent="0.25">
      <c r="A176" s="52" t="s">
        <v>715</v>
      </c>
      <c r="B176" s="143" t="s">
        <v>1373</v>
      </c>
      <c r="C176" s="143" t="s">
        <v>716</v>
      </c>
      <c r="D176" s="143" t="s">
        <v>395</v>
      </c>
      <c r="E176" s="51" t="s">
        <v>118</v>
      </c>
      <c r="F176" s="52" t="s">
        <v>1252</v>
      </c>
      <c r="G176" s="52" t="s">
        <v>27</v>
      </c>
      <c r="H176" s="52" t="s">
        <v>1891</v>
      </c>
      <c r="I176" s="52" t="s">
        <v>27</v>
      </c>
      <c r="J176" s="52" t="s">
        <v>1299</v>
      </c>
      <c r="K176" s="52" t="s">
        <v>27</v>
      </c>
      <c r="L176" s="53">
        <v>12.2148</v>
      </c>
      <c r="M176" s="52" t="s">
        <v>1212</v>
      </c>
      <c r="N176" s="53">
        <v>731203.50583749998</v>
      </c>
      <c r="O176" s="52" t="s">
        <v>1254</v>
      </c>
    </row>
    <row r="177" spans="1:15" ht="26.4" x14ac:dyDescent="0.25">
      <c r="A177" s="52" t="s">
        <v>1250</v>
      </c>
      <c r="B177" s="143" t="s">
        <v>87</v>
      </c>
      <c r="C177" s="143" t="s">
        <v>1251</v>
      </c>
      <c r="D177" s="143" t="s">
        <v>395</v>
      </c>
      <c r="E177" s="51" t="s">
        <v>19</v>
      </c>
      <c r="F177" s="52" t="s">
        <v>1892</v>
      </c>
      <c r="G177" s="52" t="s">
        <v>27</v>
      </c>
      <c r="H177" s="52" t="s">
        <v>1893</v>
      </c>
      <c r="I177" s="52" t="s">
        <v>27</v>
      </c>
      <c r="J177" s="52" t="s">
        <v>1894</v>
      </c>
      <c r="K177" s="52" t="s">
        <v>27</v>
      </c>
      <c r="L177" s="53">
        <v>11.613917970999999</v>
      </c>
      <c r="M177" s="52" t="s">
        <v>1212</v>
      </c>
      <c r="N177" s="53">
        <v>731215.1197555</v>
      </c>
      <c r="O177" s="52" t="s">
        <v>1254</v>
      </c>
    </row>
    <row r="178" spans="1:15" x14ac:dyDescent="0.25">
      <c r="A178" s="52" t="s">
        <v>669</v>
      </c>
      <c r="B178" s="143" t="s">
        <v>87</v>
      </c>
      <c r="C178" s="143" t="s">
        <v>670</v>
      </c>
      <c r="D178" s="143" t="s">
        <v>395</v>
      </c>
      <c r="E178" s="51" t="s">
        <v>28</v>
      </c>
      <c r="F178" s="52" t="s">
        <v>1257</v>
      </c>
      <c r="G178" s="52" t="s">
        <v>27</v>
      </c>
      <c r="H178" s="52" t="s">
        <v>1895</v>
      </c>
      <c r="I178" s="52" t="s">
        <v>27</v>
      </c>
      <c r="J178" s="52" t="s">
        <v>1896</v>
      </c>
      <c r="K178" s="52" t="s">
        <v>27</v>
      </c>
      <c r="L178" s="53">
        <v>11.280574400000001</v>
      </c>
      <c r="M178" s="52" t="s">
        <v>1212</v>
      </c>
      <c r="N178" s="53">
        <v>731226.40032989997</v>
      </c>
      <c r="O178" s="52" t="s">
        <v>1254</v>
      </c>
    </row>
    <row r="179" spans="1:15" ht="26.4" x14ac:dyDescent="0.25">
      <c r="A179" s="52" t="s">
        <v>1258</v>
      </c>
      <c r="B179" s="143" t="s">
        <v>87</v>
      </c>
      <c r="C179" s="143" t="s">
        <v>1259</v>
      </c>
      <c r="D179" s="143" t="s">
        <v>853</v>
      </c>
      <c r="E179" s="51" t="s">
        <v>490</v>
      </c>
      <c r="F179" s="52" t="s">
        <v>1897</v>
      </c>
      <c r="G179" s="52" t="s">
        <v>27</v>
      </c>
      <c r="H179" s="52" t="s">
        <v>1511</v>
      </c>
      <c r="I179" s="52" t="s">
        <v>27</v>
      </c>
      <c r="J179" s="52" t="s">
        <v>1898</v>
      </c>
      <c r="K179" s="52" t="s">
        <v>27</v>
      </c>
      <c r="L179" s="53">
        <v>11.166239952</v>
      </c>
      <c r="M179" s="52" t="s">
        <v>1212</v>
      </c>
      <c r="N179" s="53">
        <v>731237.56656990002</v>
      </c>
      <c r="O179" s="52" t="s">
        <v>1254</v>
      </c>
    </row>
    <row r="180" spans="1:15" ht="26.4" x14ac:dyDescent="0.25">
      <c r="A180" s="52" t="s">
        <v>535</v>
      </c>
      <c r="B180" s="143" t="s">
        <v>87</v>
      </c>
      <c r="C180" s="143" t="s">
        <v>536</v>
      </c>
      <c r="D180" s="143" t="s">
        <v>395</v>
      </c>
      <c r="E180" s="51" t="s">
        <v>18</v>
      </c>
      <c r="F180" s="52" t="s">
        <v>1249</v>
      </c>
      <c r="G180" s="52" t="s">
        <v>27</v>
      </c>
      <c r="H180" s="52" t="s">
        <v>1899</v>
      </c>
      <c r="I180" s="52" t="s">
        <v>27</v>
      </c>
      <c r="J180" s="52" t="s">
        <v>1900</v>
      </c>
      <c r="K180" s="52" t="s">
        <v>27</v>
      </c>
      <c r="L180" s="53">
        <v>11.007900000000001</v>
      </c>
      <c r="M180" s="52" t="s">
        <v>1212</v>
      </c>
      <c r="N180" s="53">
        <v>731248.57446989999</v>
      </c>
      <c r="O180" s="52" t="s">
        <v>1254</v>
      </c>
    </row>
    <row r="181" spans="1:15" ht="39.6" x14ac:dyDescent="0.25">
      <c r="A181" s="52" t="s">
        <v>1260</v>
      </c>
      <c r="B181" s="143" t="s">
        <v>87</v>
      </c>
      <c r="C181" s="143" t="s">
        <v>1261</v>
      </c>
      <c r="D181" s="143" t="s">
        <v>853</v>
      </c>
      <c r="E181" s="51" t="s">
        <v>18</v>
      </c>
      <c r="F181" s="52" t="s">
        <v>1262</v>
      </c>
      <c r="G181" s="52" t="s">
        <v>27</v>
      </c>
      <c r="H181" s="52" t="s">
        <v>1901</v>
      </c>
      <c r="I181" s="52" t="s">
        <v>27</v>
      </c>
      <c r="J181" s="52" t="s">
        <v>1902</v>
      </c>
      <c r="K181" s="52" t="s">
        <v>27</v>
      </c>
      <c r="L181" s="53">
        <v>10.628358663</v>
      </c>
      <c r="M181" s="52" t="s">
        <v>1212</v>
      </c>
      <c r="N181" s="53">
        <v>731259.20282859995</v>
      </c>
      <c r="O181" s="52" t="s">
        <v>1254</v>
      </c>
    </row>
    <row r="182" spans="1:15" ht="26.4" x14ac:dyDescent="0.25">
      <c r="A182" s="52" t="s">
        <v>1255</v>
      </c>
      <c r="B182" s="143" t="s">
        <v>87</v>
      </c>
      <c r="C182" s="143" t="s">
        <v>1256</v>
      </c>
      <c r="D182" s="143" t="s">
        <v>395</v>
      </c>
      <c r="E182" s="51" t="s">
        <v>18</v>
      </c>
      <c r="F182" s="52" t="s">
        <v>1211</v>
      </c>
      <c r="G182" s="52" t="s">
        <v>27</v>
      </c>
      <c r="H182" s="52" t="s">
        <v>1903</v>
      </c>
      <c r="I182" s="52" t="s">
        <v>27</v>
      </c>
      <c r="J182" s="52" t="s">
        <v>1904</v>
      </c>
      <c r="K182" s="52" t="s">
        <v>27</v>
      </c>
      <c r="L182" s="53">
        <v>10.577952</v>
      </c>
      <c r="M182" s="52" t="s">
        <v>1212</v>
      </c>
      <c r="N182" s="53">
        <v>731269.78078060003</v>
      </c>
      <c r="O182" s="52" t="s">
        <v>1275</v>
      </c>
    </row>
    <row r="183" spans="1:15" x14ac:dyDescent="0.25">
      <c r="A183" s="52" t="s">
        <v>533</v>
      </c>
      <c r="B183" s="143" t="s">
        <v>87</v>
      </c>
      <c r="C183" s="143" t="s">
        <v>534</v>
      </c>
      <c r="D183" s="143" t="s">
        <v>395</v>
      </c>
      <c r="E183" s="51" t="s">
        <v>18</v>
      </c>
      <c r="F183" s="52" t="s">
        <v>1249</v>
      </c>
      <c r="G183" s="52" t="s">
        <v>27</v>
      </c>
      <c r="H183" s="52" t="s">
        <v>1905</v>
      </c>
      <c r="I183" s="52" t="s">
        <v>27</v>
      </c>
      <c r="J183" s="52" t="s">
        <v>1906</v>
      </c>
      <c r="K183" s="52" t="s">
        <v>27</v>
      </c>
      <c r="L183" s="53">
        <v>10.222200000000001</v>
      </c>
      <c r="M183" s="52" t="s">
        <v>1212</v>
      </c>
      <c r="N183" s="53">
        <v>731280.00298059999</v>
      </c>
      <c r="O183" s="52" t="s">
        <v>1275</v>
      </c>
    </row>
    <row r="184" spans="1:15" ht="26.4" x14ac:dyDescent="0.25">
      <c r="A184" s="52" t="s">
        <v>1273</v>
      </c>
      <c r="B184" s="143" t="s">
        <v>87</v>
      </c>
      <c r="C184" s="143" t="s">
        <v>1274</v>
      </c>
      <c r="D184" s="143" t="s">
        <v>853</v>
      </c>
      <c r="E184" s="51" t="s">
        <v>490</v>
      </c>
      <c r="F184" s="52" t="s">
        <v>1897</v>
      </c>
      <c r="G184" s="52" t="s">
        <v>27</v>
      </c>
      <c r="H184" s="52" t="s">
        <v>1737</v>
      </c>
      <c r="I184" s="52" t="s">
        <v>27</v>
      </c>
      <c r="J184" s="52" t="s">
        <v>1907</v>
      </c>
      <c r="K184" s="52" t="s">
        <v>27</v>
      </c>
      <c r="L184" s="53">
        <v>8.4316505759999991</v>
      </c>
      <c r="M184" s="52" t="s">
        <v>1212</v>
      </c>
      <c r="N184" s="53">
        <v>731288.43463120004</v>
      </c>
      <c r="O184" s="52" t="s">
        <v>1275</v>
      </c>
    </row>
    <row r="185" spans="1:15" ht="26.4" x14ac:dyDescent="0.25">
      <c r="A185" s="52" t="s">
        <v>1268</v>
      </c>
      <c r="B185" s="143" t="s">
        <v>87</v>
      </c>
      <c r="C185" s="143" t="s">
        <v>1269</v>
      </c>
      <c r="D185" s="143" t="s">
        <v>853</v>
      </c>
      <c r="E185" s="51" t="s">
        <v>490</v>
      </c>
      <c r="F185" s="52" t="s">
        <v>1011</v>
      </c>
      <c r="G185" s="52" t="s">
        <v>27</v>
      </c>
      <c r="H185" s="52" t="s">
        <v>1270</v>
      </c>
      <c r="I185" s="52" t="s">
        <v>27</v>
      </c>
      <c r="J185" s="52" t="s">
        <v>1267</v>
      </c>
      <c r="K185" s="52" t="s">
        <v>27</v>
      </c>
      <c r="L185" s="53">
        <v>7.7719986219999999</v>
      </c>
      <c r="M185" s="52" t="s">
        <v>1212</v>
      </c>
      <c r="N185" s="53">
        <v>731296.20662980003</v>
      </c>
      <c r="O185" s="52" t="s">
        <v>1275</v>
      </c>
    </row>
    <row r="186" spans="1:15" ht="26.4" x14ac:dyDescent="0.25">
      <c r="A186" s="52" t="s">
        <v>1263</v>
      </c>
      <c r="B186" s="143" t="s">
        <v>87</v>
      </c>
      <c r="C186" s="143" t="s">
        <v>1264</v>
      </c>
      <c r="D186" s="143" t="s">
        <v>395</v>
      </c>
      <c r="E186" s="51" t="s">
        <v>18</v>
      </c>
      <c r="F186" s="52" t="s">
        <v>1265</v>
      </c>
      <c r="G186" s="52" t="s">
        <v>27</v>
      </c>
      <c r="H186" s="52" t="s">
        <v>1908</v>
      </c>
      <c r="I186" s="52" t="s">
        <v>27</v>
      </c>
      <c r="J186" s="52" t="s">
        <v>1909</v>
      </c>
      <c r="K186" s="52" t="s">
        <v>27</v>
      </c>
      <c r="L186" s="53">
        <v>7.3634399999999998</v>
      </c>
      <c r="M186" s="52" t="s">
        <v>1212</v>
      </c>
      <c r="N186" s="53">
        <v>731303.57006980001</v>
      </c>
      <c r="O186" s="52" t="s">
        <v>1275</v>
      </c>
    </row>
    <row r="187" spans="1:15" ht="26.4" x14ac:dyDescent="0.25">
      <c r="A187" s="52" t="s">
        <v>1276</v>
      </c>
      <c r="B187" s="143" t="s">
        <v>87</v>
      </c>
      <c r="C187" s="143" t="s">
        <v>1277</v>
      </c>
      <c r="D187" s="143" t="s">
        <v>395</v>
      </c>
      <c r="E187" s="51" t="s">
        <v>19</v>
      </c>
      <c r="F187" s="52" t="s">
        <v>1910</v>
      </c>
      <c r="G187" s="52" t="s">
        <v>27</v>
      </c>
      <c r="H187" s="52" t="s">
        <v>1911</v>
      </c>
      <c r="I187" s="52" t="s">
        <v>27</v>
      </c>
      <c r="J187" s="52" t="s">
        <v>1912</v>
      </c>
      <c r="K187" s="52" t="s">
        <v>27</v>
      </c>
      <c r="L187" s="53">
        <v>6.6810568320000003</v>
      </c>
      <c r="M187" s="52" t="s">
        <v>1212</v>
      </c>
      <c r="N187" s="53">
        <v>731310.25112659996</v>
      </c>
      <c r="O187" s="52" t="s">
        <v>1275</v>
      </c>
    </row>
    <row r="188" spans="1:15" x14ac:dyDescent="0.25">
      <c r="A188" s="52" t="s">
        <v>1278</v>
      </c>
      <c r="B188" s="143" t="s">
        <v>87</v>
      </c>
      <c r="C188" s="143" t="s">
        <v>1279</v>
      </c>
      <c r="D188" s="143" t="s">
        <v>389</v>
      </c>
      <c r="E188" s="51" t="s">
        <v>490</v>
      </c>
      <c r="F188" s="52" t="s">
        <v>1913</v>
      </c>
      <c r="G188" s="52" t="s">
        <v>27</v>
      </c>
      <c r="H188" s="52" t="s">
        <v>1914</v>
      </c>
      <c r="I188" s="52" t="s">
        <v>27</v>
      </c>
      <c r="J188" s="52" t="s">
        <v>1915</v>
      </c>
      <c r="K188" s="52" t="s">
        <v>27</v>
      </c>
      <c r="L188" s="53">
        <v>6.6574485780000003</v>
      </c>
      <c r="M188" s="52" t="s">
        <v>1212</v>
      </c>
      <c r="N188" s="53">
        <v>731316.90857520001</v>
      </c>
      <c r="O188" s="52" t="s">
        <v>1275</v>
      </c>
    </row>
    <row r="189" spans="1:15" x14ac:dyDescent="0.25">
      <c r="A189" s="52" t="s">
        <v>526</v>
      </c>
      <c r="B189" s="143" t="s">
        <v>87</v>
      </c>
      <c r="C189" s="143" t="s">
        <v>527</v>
      </c>
      <c r="D189" s="143" t="s">
        <v>395</v>
      </c>
      <c r="E189" s="51" t="s">
        <v>18</v>
      </c>
      <c r="F189" s="52" t="s">
        <v>1249</v>
      </c>
      <c r="G189" s="52" t="s">
        <v>27</v>
      </c>
      <c r="H189" s="52" t="s">
        <v>1916</v>
      </c>
      <c r="I189" s="52" t="s">
        <v>27</v>
      </c>
      <c r="J189" s="52" t="s">
        <v>1917</v>
      </c>
      <c r="K189" s="52" t="s">
        <v>27</v>
      </c>
      <c r="L189" s="53">
        <v>6.5772000000000004</v>
      </c>
      <c r="M189" s="52" t="s">
        <v>1212</v>
      </c>
      <c r="N189" s="53">
        <v>731323.48577519995</v>
      </c>
      <c r="O189" s="52" t="s">
        <v>1275</v>
      </c>
    </row>
    <row r="190" spans="1:15" x14ac:dyDescent="0.25">
      <c r="A190" s="52" t="s">
        <v>1282</v>
      </c>
      <c r="B190" s="143" t="s">
        <v>87</v>
      </c>
      <c r="C190" s="143" t="s">
        <v>1283</v>
      </c>
      <c r="D190" s="143" t="s">
        <v>395</v>
      </c>
      <c r="E190" s="51" t="s">
        <v>18</v>
      </c>
      <c r="F190" s="52" t="s">
        <v>1284</v>
      </c>
      <c r="G190" s="52" t="s">
        <v>27</v>
      </c>
      <c r="H190" s="52" t="s">
        <v>1918</v>
      </c>
      <c r="I190" s="52" t="s">
        <v>27</v>
      </c>
      <c r="J190" s="52" t="s">
        <v>1919</v>
      </c>
      <c r="K190" s="52" t="s">
        <v>27</v>
      </c>
      <c r="L190" s="53">
        <v>6.4713599999999998</v>
      </c>
      <c r="M190" s="52" t="s">
        <v>1212</v>
      </c>
      <c r="N190" s="53">
        <v>731329.95713520003</v>
      </c>
      <c r="O190" s="52" t="s">
        <v>1275</v>
      </c>
    </row>
    <row r="191" spans="1:15" ht="26.4" x14ac:dyDescent="0.25">
      <c r="A191" s="52" t="s">
        <v>1285</v>
      </c>
      <c r="B191" s="143" t="s">
        <v>87</v>
      </c>
      <c r="C191" s="143" t="s">
        <v>1286</v>
      </c>
      <c r="D191" s="143" t="s">
        <v>395</v>
      </c>
      <c r="E191" s="51" t="s">
        <v>18</v>
      </c>
      <c r="F191" s="52" t="s">
        <v>1265</v>
      </c>
      <c r="G191" s="52" t="s">
        <v>27</v>
      </c>
      <c r="H191" s="52" t="s">
        <v>1920</v>
      </c>
      <c r="I191" s="52" t="s">
        <v>27</v>
      </c>
      <c r="J191" s="52" t="s">
        <v>1921</v>
      </c>
      <c r="K191" s="52" t="s">
        <v>27</v>
      </c>
      <c r="L191" s="53">
        <v>6.2596800000000004</v>
      </c>
      <c r="M191" s="52" t="s">
        <v>1212</v>
      </c>
      <c r="N191" s="53">
        <v>731336.21681520005</v>
      </c>
      <c r="O191" s="52" t="s">
        <v>1305</v>
      </c>
    </row>
    <row r="192" spans="1:15" x14ac:dyDescent="0.25">
      <c r="A192" s="52" t="s">
        <v>1287</v>
      </c>
      <c r="B192" s="143" t="s">
        <v>87</v>
      </c>
      <c r="C192" s="143" t="s">
        <v>1288</v>
      </c>
      <c r="D192" s="143" t="s">
        <v>395</v>
      </c>
      <c r="E192" s="51" t="s">
        <v>28</v>
      </c>
      <c r="F192" s="52" t="s">
        <v>1289</v>
      </c>
      <c r="G192" s="52" t="s">
        <v>27</v>
      </c>
      <c r="H192" s="52" t="s">
        <v>1922</v>
      </c>
      <c r="I192" s="52" t="s">
        <v>27</v>
      </c>
      <c r="J192" s="52" t="s">
        <v>1923</v>
      </c>
      <c r="K192" s="52" t="s">
        <v>27</v>
      </c>
      <c r="L192" s="53">
        <v>5.4753746400000001</v>
      </c>
      <c r="M192" s="52" t="s">
        <v>1212</v>
      </c>
      <c r="N192" s="53">
        <v>731341.69218979997</v>
      </c>
      <c r="O192" s="52" t="s">
        <v>1305</v>
      </c>
    </row>
    <row r="193" spans="1:15" ht="26.4" x14ac:dyDescent="0.25">
      <c r="A193" s="52" t="s">
        <v>1303</v>
      </c>
      <c r="B193" s="143" t="s">
        <v>87</v>
      </c>
      <c r="C193" s="143" t="s">
        <v>1304</v>
      </c>
      <c r="D193" s="143" t="s">
        <v>853</v>
      </c>
      <c r="E193" s="51" t="s">
        <v>490</v>
      </c>
      <c r="F193" s="52" t="s">
        <v>1203</v>
      </c>
      <c r="G193" s="52" t="s">
        <v>27</v>
      </c>
      <c r="H193" s="52" t="s">
        <v>1119</v>
      </c>
      <c r="I193" s="52" t="s">
        <v>27</v>
      </c>
      <c r="J193" s="52" t="s">
        <v>1924</v>
      </c>
      <c r="K193" s="52" t="s">
        <v>27</v>
      </c>
      <c r="L193" s="53">
        <v>4.41556164</v>
      </c>
      <c r="M193" s="52" t="s">
        <v>1212</v>
      </c>
      <c r="N193" s="53">
        <v>731346.10775139998</v>
      </c>
      <c r="O193" s="52" t="s">
        <v>1305</v>
      </c>
    </row>
    <row r="194" spans="1:15" ht="26.4" x14ac:dyDescent="0.25">
      <c r="A194" s="52" t="s">
        <v>1300</v>
      </c>
      <c r="B194" s="143" t="s">
        <v>87</v>
      </c>
      <c r="C194" s="143" t="s">
        <v>1301</v>
      </c>
      <c r="D194" s="143" t="s">
        <v>395</v>
      </c>
      <c r="E194" s="51" t="s">
        <v>1302</v>
      </c>
      <c r="F194" s="52" t="s">
        <v>1197</v>
      </c>
      <c r="G194" s="52" t="s">
        <v>27</v>
      </c>
      <c r="H194" s="52" t="s">
        <v>1925</v>
      </c>
      <c r="I194" s="52" t="s">
        <v>27</v>
      </c>
      <c r="J194" s="52" t="s">
        <v>1926</v>
      </c>
      <c r="K194" s="52" t="s">
        <v>27</v>
      </c>
      <c r="L194" s="53">
        <v>4.3533504000000001</v>
      </c>
      <c r="M194" s="52" t="s">
        <v>1212</v>
      </c>
      <c r="N194" s="53">
        <v>731350.46110179997</v>
      </c>
      <c r="O194" s="52" t="s">
        <v>1305</v>
      </c>
    </row>
    <row r="195" spans="1:15" x14ac:dyDescent="0.25">
      <c r="A195" s="52" t="s">
        <v>1290</v>
      </c>
      <c r="B195" s="143" t="s">
        <v>87</v>
      </c>
      <c r="C195" s="143" t="s">
        <v>1291</v>
      </c>
      <c r="D195" s="143" t="s">
        <v>389</v>
      </c>
      <c r="E195" s="51" t="s">
        <v>490</v>
      </c>
      <c r="F195" s="52" t="s">
        <v>1927</v>
      </c>
      <c r="G195" s="52" t="s">
        <v>27</v>
      </c>
      <c r="H195" s="52" t="s">
        <v>1928</v>
      </c>
      <c r="I195" s="52" t="s">
        <v>27</v>
      </c>
      <c r="J195" s="52" t="s">
        <v>866</v>
      </c>
      <c r="K195" s="52" t="s">
        <v>27</v>
      </c>
      <c r="L195" s="53">
        <v>4.3324280999999996</v>
      </c>
      <c r="M195" s="52" t="s">
        <v>1212</v>
      </c>
      <c r="N195" s="53">
        <v>731354.79352990002</v>
      </c>
      <c r="O195" s="52" t="s">
        <v>1305</v>
      </c>
    </row>
    <row r="196" spans="1:15" x14ac:dyDescent="0.25">
      <c r="A196" s="52" t="s">
        <v>1292</v>
      </c>
      <c r="B196" s="143" t="s">
        <v>87</v>
      </c>
      <c r="C196" s="143" t="s">
        <v>1293</v>
      </c>
      <c r="D196" s="143" t="s">
        <v>389</v>
      </c>
      <c r="E196" s="51" t="s">
        <v>490</v>
      </c>
      <c r="F196" s="52" t="s">
        <v>1929</v>
      </c>
      <c r="G196" s="52" t="s">
        <v>27</v>
      </c>
      <c r="H196" s="52" t="s">
        <v>1930</v>
      </c>
      <c r="I196" s="52" t="s">
        <v>27</v>
      </c>
      <c r="J196" s="52" t="s">
        <v>1931</v>
      </c>
      <c r="K196" s="52" t="s">
        <v>27</v>
      </c>
      <c r="L196" s="53">
        <v>4.3170165899999997</v>
      </c>
      <c r="M196" s="52" t="s">
        <v>1212</v>
      </c>
      <c r="N196" s="53">
        <v>731359.11054649996</v>
      </c>
      <c r="O196" s="52" t="s">
        <v>1305</v>
      </c>
    </row>
    <row r="197" spans="1:15" ht="26.4" x14ac:dyDescent="0.25">
      <c r="A197" s="52" t="s">
        <v>1294</v>
      </c>
      <c r="B197" s="143" t="s">
        <v>87</v>
      </c>
      <c r="C197" s="143" t="s">
        <v>1295</v>
      </c>
      <c r="D197" s="143" t="s">
        <v>395</v>
      </c>
      <c r="E197" s="51" t="s">
        <v>18</v>
      </c>
      <c r="F197" s="52" t="s">
        <v>1296</v>
      </c>
      <c r="G197" s="52" t="s">
        <v>27</v>
      </c>
      <c r="H197" s="52" t="s">
        <v>1761</v>
      </c>
      <c r="I197" s="52" t="s">
        <v>27</v>
      </c>
      <c r="J197" s="52" t="s">
        <v>1932</v>
      </c>
      <c r="K197" s="52" t="s">
        <v>27</v>
      </c>
      <c r="L197" s="53">
        <v>4.2982259999999997</v>
      </c>
      <c r="M197" s="52" t="s">
        <v>1212</v>
      </c>
      <c r="N197" s="53">
        <v>731363.4087725</v>
      </c>
      <c r="O197" s="52" t="s">
        <v>1305</v>
      </c>
    </row>
    <row r="198" spans="1:15" x14ac:dyDescent="0.25">
      <c r="A198" s="52" t="s">
        <v>1271</v>
      </c>
      <c r="B198" s="143" t="s">
        <v>87</v>
      </c>
      <c r="C198" s="143" t="s">
        <v>1272</v>
      </c>
      <c r="D198" s="143" t="s">
        <v>389</v>
      </c>
      <c r="E198" s="51" t="s">
        <v>490</v>
      </c>
      <c r="F198" s="52" t="s">
        <v>1933</v>
      </c>
      <c r="G198" s="52" t="s">
        <v>27</v>
      </c>
      <c r="H198" s="52" t="s">
        <v>1934</v>
      </c>
      <c r="I198" s="52" t="s">
        <v>27</v>
      </c>
      <c r="J198" s="52" t="s">
        <v>1935</v>
      </c>
      <c r="K198" s="52" t="s">
        <v>27</v>
      </c>
      <c r="L198" s="53">
        <v>4.2185653739999998</v>
      </c>
      <c r="M198" s="52" t="s">
        <v>1212</v>
      </c>
      <c r="N198" s="53">
        <v>731367.62733789999</v>
      </c>
      <c r="O198" s="52" t="s">
        <v>1305</v>
      </c>
    </row>
    <row r="199" spans="1:15" x14ac:dyDescent="0.25">
      <c r="A199" s="52" t="s">
        <v>1297</v>
      </c>
      <c r="B199" s="143" t="s">
        <v>87</v>
      </c>
      <c r="C199" s="143" t="s">
        <v>1298</v>
      </c>
      <c r="D199" s="143" t="s">
        <v>395</v>
      </c>
      <c r="E199" s="51" t="s">
        <v>18</v>
      </c>
      <c r="F199" s="52" t="s">
        <v>1265</v>
      </c>
      <c r="G199" s="52" t="s">
        <v>27</v>
      </c>
      <c r="H199" s="52" t="s">
        <v>1936</v>
      </c>
      <c r="I199" s="52" t="s">
        <v>27</v>
      </c>
      <c r="J199" s="52" t="s">
        <v>1937</v>
      </c>
      <c r="K199" s="52" t="s">
        <v>27</v>
      </c>
      <c r="L199" s="53">
        <v>4.0521599999999998</v>
      </c>
      <c r="M199" s="52" t="s">
        <v>1212</v>
      </c>
      <c r="N199" s="53">
        <v>731371.67949789995</v>
      </c>
      <c r="O199" s="52" t="s">
        <v>1305</v>
      </c>
    </row>
    <row r="200" spans="1:15" ht="26.4" x14ac:dyDescent="0.25">
      <c r="A200" s="52" t="s">
        <v>1280</v>
      </c>
      <c r="B200" s="143" t="s">
        <v>87</v>
      </c>
      <c r="C200" s="143" t="s">
        <v>1281</v>
      </c>
      <c r="D200" s="143" t="s">
        <v>395</v>
      </c>
      <c r="E200" s="51" t="s">
        <v>18</v>
      </c>
      <c r="F200" s="52" t="s">
        <v>1938</v>
      </c>
      <c r="G200" s="52" t="s">
        <v>27</v>
      </c>
      <c r="H200" s="52" t="s">
        <v>1939</v>
      </c>
      <c r="I200" s="52" t="s">
        <v>27</v>
      </c>
      <c r="J200" s="52" t="s">
        <v>1940</v>
      </c>
      <c r="K200" s="52" t="s">
        <v>27</v>
      </c>
      <c r="L200" s="53">
        <v>3.8882180279999998</v>
      </c>
      <c r="M200" s="52" t="s">
        <v>1212</v>
      </c>
      <c r="N200" s="53">
        <v>731375.56771590002</v>
      </c>
      <c r="O200" s="52" t="s">
        <v>1305</v>
      </c>
    </row>
    <row r="201" spans="1:15" ht="26.4" x14ac:dyDescent="0.25">
      <c r="A201" s="52" t="s">
        <v>499</v>
      </c>
      <c r="B201" s="143" t="s">
        <v>87</v>
      </c>
      <c r="C201" s="143" t="s">
        <v>500</v>
      </c>
      <c r="D201" s="143" t="s">
        <v>395</v>
      </c>
      <c r="E201" s="51" t="s">
        <v>18</v>
      </c>
      <c r="F201" s="52" t="s">
        <v>1211</v>
      </c>
      <c r="G201" s="52" t="s">
        <v>27</v>
      </c>
      <c r="H201" s="52" t="s">
        <v>1941</v>
      </c>
      <c r="I201" s="52" t="s">
        <v>27</v>
      </c>
      <c r="J201" s="52" t="s">
        <v>1942</v>
      </c>
      <c r="K201" s="52" t="s">
        <v>27</v>
      </c>
      <c r="L201" s="53">
        <v>3.344544</v>
      </c>
      <c r="M201" s="52" t="s">
        <v>1212</v>
      </c>
      <c r="N201" s="53">
        <v>731378.91225990001</v>
      </c>
      <c r="O201" s="52" t="s">
        <v>1305</v>
      </c>
    </row>
    <row r="202" spans="1:15" ht="39.6" x14ac:dyDescent="0.25">
      <c r="A202" s="52" t="s">
        <v>699</v>
      </c>
      <c r="B202" s="143" t="s">
        <v>1373</v>
      </c>
      <c r="C202" s="143" t="s">
        <v>700</v>
      </c>
      <c r="D202" s="143" t="s">
        <v>395</v>
      </c>
      <c r="E202" s="51" t="s">
        <v>701</v>
      </c>
      <c r="F202" s="52" t="s">
        <v>1309</v>
      </c>
      <c r="G202" s="52" t="s">
        <v>27</v>
      </c>
      <c r="H202" s="52" t="s">
        <v>1943</v>
      </c>
      <c r="I202" s="52" t="s">
        <v>27</v>
      </c>
      <c r="J202" s="52" t="s">
        <v>1944</v>
      </c>
      <c r="K202" s="52" t="s">
        <v>27</v>
      </c>
      <c r="L202" s="53">
        <v>2.6640000000000001</v>
      </c>
      <c r="M202" s="52" t="s">
        <v>1212</v>
      </c>
      <c r="N202" s="53">
        <v>731381.5762599</v>
      </c>
      <c r="O202" s="52" t="s">
        <v>1305</v>
      </c>
    </row>
    <row r="203" spans="1:15" ht="26.4" x14ac:dyDescent="0.25">
      <c r="A203" s="52" t="s">
        <v>1306</v>
      </c>
      <c r="B203" s="143" t="s">
        <v>87</v>
      </c>
      <c r="C203" s="143" t="s">
        <v>1307</v>
      </c>
      <c r="D203" s="143" t="s">
        <v>853</v>
      </c>
      <c r="E203" s="51" t="s">
        <v>18</v>
      </c>
      <c r="F203" s="52" t="s">
        <v>1308</v>
      </c>
      <c r="G203" s="52" t="s">
        <v>27</v>
      </c>
      <c r="H203" s="52" t="s">
        <v>1945</v>
      </c>
      <c r="I203" s="52" t="s">
        <v>27</v>
      </c>
      <c r="J203" s="52" t="s">
        <v>1946</v>
      </c>
      <c r="K203" s="52" t="s">
        <v>27</v>
      </c>
      <c r="L203" s="53">
        <v>2.5998014340000002</v>
      </c>
      <c r="M203" s="52" t="s">
        <v>1212</v>
      </c>
      <c r="N203" s="53">
        <v>731384.17606129998</v>
      </c>
      <c r="O203" s="52" t="s">
        <v>1305</v>
      </c>
    </row>
    <row r="204" spans="1:15" x14ac:dyDescent="0.25">
      <c r="A204" s="52" t="s">
        <v>1310</v>
      </c>
      <c r="B204" s="143" t="s">
        <v>87</v>
      </c>
      <c r="C204" s="143" t="s">
        <v>1311</v>
      </c>
      <c r="D204" s="143" t="s">
        <v>395</v>
      </c>
      <c r="E204" s="51" t="s">
        <v>18</v>
      </c>
      <c r="F204" s="52" t="s">
        <v>1211</v>
      </c>
      <c r="G204" s="52" t="s">
        <v>27</v>
      </c>
      <c r="H204" s="52" t="s">
        <v>1947</v>
      </c>
      <c r="I204" s="52" t="s">
        <v>27</v>
      </c>
      <c r="J204" s="52" t="s">
        <v>1948</v>
      </c>
      <c r="K204" s="52" t="s">
        <v>27</v>
      </c>
      <c r="L204" s="53">
        <v>2.2302</v>
      </c>
      <c r="M204" s="52" t="s">
        <v>1212</v>
      </c>
      <c r="N204" s="53">
        <v>731386.40626129997</v>
      </c>
      <c r="O204" s="52" t="s">
        <v>1305</v>
      </c>
    </row>
    <row r="205" spans="1:15" x14ac:dyDescent="0.25">
      <c r="A205" s="52" t="s">
        <v>1312</v>
      </c>
      <c r="B205" s="143" t="s">
        <v>87</v>
      </c>
      <c r="C205" s="143" t="s">
        <v>1313</v>
      </c>
      <c r="D205" s="143" t="s">
        <v>853</v>
      </c>
      <c r="E205" s="51" t="s">
        <v>18</v>
      </c>
      <c r="F205" s="52" t="s">
        <v>1314</v>
      </c>
      <c r="G205" s="52" t="s">
        <v>27</v>
      </c>
      <c r="H205" s="52" t="s">
        <v>1949</v>
      </c>
      <c r="I205" s="52" t="s">
        <v>27</v>
      </c>
      <c r="J205" s="52" t="s">
        <v>1950</v>
      </c>
      <c r="K205" s="52" t="s">
        <v>27</v>
      </c>
      <c r="L205" s="53">
        <v>2.1222082539999998</v>
      </c>
      <c r="M205" s="52" t="s">
        <v>1212</v>
      </c>
      <c r="N205" s="53">
        <v>731388.52846960002</v>
      </c>
      <c r="O205" s="52" t="s">
        <v>1305</v>
      </c>
    </row>
    <row r="206" spans="1:15" ht="26.4" x14ac:dyDescent="0.25">
      <c r="A206" s="52" t="s">
        <v>665</v>
      </c>
      <c r="B206" s="143" t="s">
        <v>87</v>
      </c>
      <c r="C206" s="143" t="s">
        <v>666</v>
      </c>
      <c r="D206" s="143" t="s">
        <v>395</v>
      </c>
      <c r="E206" s="51" t="s">
        <v>30</v>
      </c>
      <c r="F206" s="52" t="s">
        <v>1315</v>
      </c>
      <c r="G206" s="52" t="s">
        <v>27</v>
      </c>
      <c r="H206" s="52" t="s">
        <v>1951</v>
      </c>
      <c r="I206" s="52" t="s">
        <v>27</v>
      </c>
      <c r="J206" s="52" t="s">
        <v>1952</v>
      </c>
      <c r="K206" s="52" t="s">
        <v>27</v>
      </c>
      <c r="L206" s="53">
        <v>2.0464566</v>
      </c>
      <c r="M206" s="52" t="s">
        <v>1212</v>
      </c>
      <c r="N206" s="53">
        <v>731390.57492619997</v>
      </c>
      <c r="O206" s="52" t="s">
        <v>1305</v>
      </c>
    </row>
    <row r="207" spans="1:15" ht="26.4" x14ac:dyDescent="0.25">
      <c r="A207" s="52" t="s">
        <v>1316</v>
      </c>
      <c r="B207" s="143" t="s">
        <v>87</v>
      </c>
      <c r="C207" s="143" t="s">
        <v>1317</v>
      </c>
      <c r="D207" s="143" t="s">
        <v>395</v>
      </c>
      <c r="E207" s="51" t="s">
        <v>18</v>
      </c>
      <c r="F207" s="52" t="s">
        <v>1318</v>
      </c>
      <c r="G207" s="52" t="s">
        <v>27</v>
      </c>
      <c r="H207" s="52" t="s">
        <v>1953</v>
      </c>
      <c r="I207" s="52" t="s">
        <v>27</v>
      </c>
      <c r="J207" s="52" t="s">
        <v>1954</v>
      </c>
      <c r="K207" s="52" t="s">
        <v>27</v>
      </c>
      <c r="L207" s="53">
        <v>1.805328</v>
      </c>
      <c r="M207" s="52" t="s">
        <v>1212</v>
      </c>
      <c r="N207" s="53">
        <v>731392.38025419996</v>
      </c>
      <c r="O207" s="52" t="s">
        <v>1305</v>
      </c>
    </row>
    <row r="208" spans="1:15" ht="26.4" x14ac:dyDescent="0.25">
      <c r="A208" s="52" t="s">
        <v>1319</v>
      </c>
      <c r="B208" s="143" t="s">
        <v>87</v>
      </c>
      <c r="C208" s="143" t="s">
        <v>1320</v>
      </c>
      <c r="D208" s="143" t="s">
        <v>395</v>
      </c>
      <c r="E208" s="51" t="s">
        <v>18</v>
      </c>
      <c r="F208" s="52" t="s">
        <v>1321</v>
      </c>
      <c r="G208" s="52" t="s">
        <v>27</v>
      </c>
      <c r="H208" s="52" t="s">
        <v>1955</v>
      </c>
      <c r="I208" s="52" t="s">
        <v>27</v>
      </c>
      <c r="J208" s="52" t="s">
        <v>1956</v>
      </c>
      <c r="K208" s="52" t="s">
        <v>27</v>
      </c>
      <c r="L208" s="53">
        <v>1.6534500000000001</v>
      </c>
      <c r="M208" s="52" t="s">
        <v>1212</v>
      </c>
      <c r="N208" s="53">
        <v>731394.03370419994</v>
      </c>
      <c r="O208" s="52" t="s">
        <v>1305</v>
      </c>
    </row>
    <row r="209" spans="1:15" x14ac:dyDescent="0.25">
      <c r="A209" s="52" t="s">
        <v>1325</v>
      </c>
      <c r="B209" s="143" t="s">
        <v>87</v>
      </c>
      <c r="C209" s="143" t="s">
        <v>1326</v>
      </c>
      <c r="D209" s="143" t="s">
        <v>395</v>
      </c>
      <c r="E209" s="51" t="s">
        <v>18</v>
      </c>
      <c r="F209" s="52" t="s">
        <v>1211</v>
      </c>
      <c r="G209" s="52" t="s">
        <v>27</v>
      </c>
      <c r="H209" s="52" t="s">
        <v>1957</v>
      </c>
      <c r="I209" s="52" t="s">
        <v>27</v>
      </c>
      <c r="J209" s="52" t="s">
        <v>1958</v>
      </c>
      <c r="K209" s="52" t="s">
        <v>27</v>
      </c>
      <c r="L209" s="53">
        <v>1.4212800000000001</v>
      </c>
      <c r="M209" s="52" t="s">
        <v>1212</v>
      </c>
      <c r="N209" s="53">
        <v>731395.45498419995</v>
      </c>
      <c r="O209" s="52" t="s">
        <v>1305</v>
      </c>
    </row>
    <row r="210" spans="1:15" ht="39.6" x14ac:dyDescent="0.25">
      <c r="A210" s="52" t="s">
        <v>1322</v>
      </c>
      <c r="B210" s="143" t="s">
        <v>87</v>
      </c>
      <c r="C210" s="143" t="s">
        <v>1323</v>
      </c>
      <c r="D210" s="143" t="s">
        <v>395</v>
      </c>
      <c r="E210" s="51" t="s">
        <v>18</v>
      </c>
      <c r="F210" s="52" t="s">
        <v>1324</v>
      </c>
      <c r="G210" s="52" t="s">
        <v>27</v>
      </c>
      <c r="H210" s="52" t="s">
        <v>1959</v>
      </c>
      <c r="I210" s="52" t="s">
        <v>27</v>
      </c>
      <c r="J210" s="52" t="s">
        <v>1960</v>
      </c>
      <c r="K210" s="52" t="s">
        <v>27</v>
      </c>
      <c r="L210" s="53">
        <v>1.300886566</v>
      </c>
      <c r="M210" s="52" t="s">
        <v>1212</v>
      </c>
      <c r="N210" s="53">
        <v>731396.7558708</v>
      </c>
      <c r="O210" s="52" t="s">
        <v>1305</v>
      </c>
    </row>
    <row r="211" spans="1:15" ht="39.6" x14ac:dyDescent="0.25">
      <c r="A211" s="52" t="s">
        <v>1329</v>
      </c>
      <c r="B211" s="143" t="s">
        <v>87</v>
      </c>
      <c r="C211" s="143" t="s">
        <v>1330</v>
      </c>
      <c r="D211" s="143" t="s">
        <v>395</v>
      </c>
      <c r="E211" s="51" t="s">
        <v>18</v>
      </c>
      <c r="F211" s="52" t="s">
        <v>1318</v>
      </c>
      <c r="G211" s="52" t="s">
        <v>27</v>
      </c>
      <c r="H211" s="52" t="s">
        <v>1961</v>
      </c>
      <c r="I211" s="52" t="s">
        <v>27</v>
      </c>
      <c r="J211" s="52" t="s">
        <v>1962</v>
      </c>
      <c r="K211" s="52" t="s">
        <v>27</v>
      </c>
      <c r="L211" s="53">
        <v>0.93441600000000002</v>
      </c>
      <c r="M211" s="52" t="s">
        <v>1212</v>
      </c>
      <c r="N211" s="53">
        <v>731397.69028680003</v>
      </c>
      <c r="O211" s="52" t="s">
        <v>1305</v>
      </c>
    </row>
    <row r="212" spans="1:15" ht="26.4" x14ac:dyDescent="0.25">
      <c r="A212" s="52" t="s">
        <v>1333</v>
      </c>
      <c r="B212" s="143" t="s">
        <v>87</v>
      </c>
      <c r="C212" s="143" t="s">
        <v>1334</v>
      </c>
      <c r="D212" s="143" t="s">
        <v>395</v>
      </c>
      <c r="E212" s="51" t="s">
        <v>18</v>
      </c>
      <c r="F212" s="52" t="s">
        <v>1963</v>
      </c>
      <c r="G212" s="52" t="s">
        <v>27</v>
      </c>
      <c r="H212" s="52" t="s">
        <v>1951</v>
      </c>
      <c r="I212" s="52" t="s">
        <v>27</v>
      </c>
      <c r="J212" s="52" t="s">
        <v>1964</v>
      </c>
      <c r="K212" s="52" t="s">
        <v>27</v>
      </c>
      <c r="L212" s="53">
        <v>0.689375301</v>
      </c>
      <c r="M212" s="52" t="s">
        <v>1212</v>
      </c>
      <c r="N212" s="53">
        <v>731398.37966209999</v>
      </c>
      <c r="O212" s="52" t="s">
        <v>1305</v>
      </c>
    </row>
    <row r="213" spans="1:15" x14ac:dyDescent="0.25">
      <c r="A213" s="52" t="s">
        <v>1331</v>
      </c>
      <c r="B213" s="143" t="s">
        <v>87</v>
      </c>
      <c r="C213" s="143" t="s">
        <v>1332</v>
      </c>
      <c r="D213" s="143" t="s">
        <v>395</v>
      </c>
      <c r="E213" s="51" t="s">
        <v>18</v>
      </c>
      <c r="F213" s="52" t="s">
        <v>1211</v>
      </c>
      <c r="G213" s="52" t="s">
        <v>27</v>
      </c>
      <c r="H213" s="52" t="s">
        <v>1965</v>
      </c>
      <c r="I213" s="52" t="s">
        <v>27</v>
      </c>
      <c r="J213" s="52" t="s">
        <v>1966</v>
      </c>
      <c r="K213" s="52" t="s">
        <v>27</v>
      </c>
      <c r="L213" s="53">
        <v>0.660744</v>
      </c>
      <c r="M213" s="52" t="s">
        <v>1212</v>
      </c>
      <c r="N213" s="53">
        <v>731399.04040609999</v>
      </c>
      <c r="O213" s="52" t="s">
        <v>1305</v>
      </c>
    </row>
    <row r="214" spans="1:15" ht="26.4" x14ac:dyDescent="0.25">
      <c r="A214" s="52" t="s">
        <v>1335</v>
      </c>
      <c r="B214" s="143" t="s">
        <v>87</v>
      </c>
      <c r="C214" s="143" t="s">
        <v>1336</v>
      </c>
      <c r="D214" s="143" t="s">
        <v>395</v>
      </c>
      <c r="E214" s="51" t="s">
        <v>18</v>
      </c>
      <c r="F214" s="52" t="s">
        <v>1265</v>
      </c>
      <c r="G214" s="52" t="s">
        <v>27</v>
      </c>
      <c r="H214" s="52" t="s">
        <v>1337</v>
      </c>
      <c r="I214" s="52" t="s">
        <v>27</v>
      </c>
      <c r="J214" s="52" t="s">
        <v>1338</v>
      </c>
      <c r="K214" s="52" t="s">
        <v>27</v>
      </c>
      <c r="L214" s="53">
        <v>0.64713600000000004</v>
      </c>
      <c r="M214" s="52" t="s">
        <v>1212</v>
      </c>
      <c r="N214" s="53">
        <v>731399.68754209997</v>
      </c>
      <c r="O214" s="52" t="s">
        <v>1305</v>
      </c>
    </row>
    <row r="215" spans="1:15" x14ac:dyDescent="0.25">
      <c r="A215" s="52" t="s">
        <v>1327</v>
      </c>
      <c r="B215" s="143" t="s">
        <v>87</v>
      </c>
      <c r="C215" s="143" t="s">
        <v>1328</v>
      </c>
      <c r="D215" s="143" t="s">
        <v>389</v>
      </c>
      <c r="E215" s="51" t="s">
        <v>490</v>
      </c>
      <c r="F215" s="52" t="s">
        <v>1967</v>
      </c>
      <c r="G215" s="52" t="s">
        <v>27</v>
      </c>
      <c r="H215" s="52" t="s">
        <v>1968</v>
      </c>
      <c r="I215" s="52" t="s">
        <v>27</v>
      </c>
      <c r="J215" s="52" t="s">
        <v>1969</v>
      </c>
      <c r="K215" s="52" t="s">
        <v>27</v>
      </c>
      <c r="L215" s="53">
        <v>0.49973136600000001</v>
      </c>
      <c r="M215" s="52" t="s">
        <v>1212</v>
      </c>
      <c r="N215" s="53">
        <v>731400.18727350002</v>
      </c>
      <c r="O215" s="52" t="s">
        <v>1305</v>
      </c>
    </row>
    <row r="216" spans="1:15" ht="26.4" x14ac:dyDescent="0.25">
      <c r="A216" s="52" t="s">
        <v>1339</v>
      </c>
      <c r="B216" s="143" t="s">
        <v>87</v>
      </c>
      <c r="C216" s="143" t="s">
        <v>1340</v>
      </c>
      <c r="D216" s="143" t="s">
        <v>395</v>
      </c>
      <c r="E216" s="51" t="s">
        <v>18</v>
      </c>
      <c r="F216" s="52" t="s">
        <v>1341</v>
      </c>
      <c r="G216" s="52" t="s">
        <v>27</v>
      </c>
      <c r="H216" s="52" t="s">
        <v>1970</v>
      </c>
      <c r="I216" s="52" t="s">
        <v>27</v>
      </c>
      <c r="J216" s="52" t="s">
        <v>1971</v>
      </c>
      <c r="K216" s="52" t="s">
        <v>27</v>
      </c>
      <c r="L216" s="53">
        <v>0.33747480400000002</v>
      </c>
      <c r="M216" s="52" t="s">
        <v>1212</v>
      </c>
      <c r="N216" s="53">
        <v>731400.52474829997</v>
      </c>
      <c r="O216" s="52" t="s">
        <v>1305</v>
      </c>
    </row>
    <row r="217" spans="1:15" ht="66" x14ac:dyDescent="0.25">
      <c r="A217" s="52" t="s">
        <v>1344</v>
      </c>
      <c r="B217" s="143" t="s">
        <v>87</v>
      </c>
      <c r="C217" s="143" t="s">
        <v>1345</v>
      </c>
      <c r="D217" s="143" t="s">
        <v>853</v>
      </c>
      <c r="E217" s="51" t="s">
        <v>18</v>
      </c>
      <c r="F217" s="52" t="s">
        <v>1346</v>
      </c>
      <c r="G217" s="52" t="s">
        <v>27</v>
      </c>
      <c r="H217" s="52" t="s">
        <v>1972</v>
      </c>
      <c r="I217" s="52" t="s">
        <v>27</v>
      </c>
      <c r="J217" s="52" t="s">
        <v>1347</v>
      </c>
      <c r="K217" s="52" t="s">
        <v>27</v>
      </c>
      <c r="L217" s="53">
        <v>0.30712449999999997</v>
      </c>
      <c r="M217" s="52" t="s">
        <v>1212</v>
      </c>
      <c r="N217" s="53">
        <v>731400.83187280002</v>
      </c>
      <c r="O217" s="52" t="s">
        <v>1305</v>
      </c>
    </row>
    <row r="218" spans="1:15" ht="26.4" x14ac:dyDescent="0.25">
      <c r="A218" s="52" t="s">
        <v>1348</v>
      </c>
      <c r="B218" s="143" t="s">
        <v>87</v>
      </c>
      <c r="C218" s="143" t="s">
        <v>1349</v>
      </c>
      <c r="D218" s="143" t="s">
        <v>853</v>
      </c>
      <c r="E218" s="51" t="s">
        <v>490</v>
      </c>
      <c r="F218" s="52" t="s">
        <v>1350</v>
      </c>
      <c r="G218" s="52" t="s">
        <v>27</v>
      </c>
      <c r="H218" s="52" t="s">
        <v>1748</v>
      </c>
      <c r="I218" s="52" t="s">
        <v>27</v>
      </c>
      <c r="J218" s="52" t="s">
        <v>1973</v>
      </c>
      <c r="K218" s="52" t="s">
        <v>27</v>
      </c>
      <c r="L218" s="53">
        <v>0.25195859999999998</v>
      </c>
      <c r="M218" s="52" t="s">
        <v>1212</v>
      </c>
      <c r="N218" s="53">
        <v>731401.08383140003</v>
      </c>
      <c r="O218" s="52" t="s">
        <v>1305</v>
      </c>
    </row>
    <row r="219" spans="1:15" ht="26.4" x14ac:dyDescent="0.25">
      <c r="A219" s="52" t="s">
        <v>1342</v>
      </c>
      <c r="B219" s="143" t="s">
        <v>87</v>
      </c>
      <c r="C219" s="143" t="s">
        <v>1343</v>
      </c>
      <c r="D219" s="143" t="s">
        <v>853</v>
      </c>
      <c r="E219" s="51" t="s">
        <v>490</v>
      </c>
      <c r="F219" s="52" t="s">
        <v>1974</v>
      </c>
      <c r="G219" s="52" t="s">
        <v>27</v>
      </c>
      <c r="H219" s="52" t="s">
        <v>1960</v>
      </c>
      <c r="I219" s="52" t="s">
        <v>27</v>
      </c>
      <c r="J219" s="52" t="s">
        <v>1351</v>
      </c>
      <c r="K219" s="52" t="s">
        <v>27</v>
      </c>
      <c r="L219" s="53">
        <v>0.22585836000000001</v>
      </c>
      <c r="M219" s="52" t="s">
        <v>1212</v>
      </c>
      <c r="N219" s="53">
        <v>731401.30968980002</v>
      </c>
      <c r="O219" s="52" t="s">
        <v>1305</v>
      </c>
    </row>
    <row r="220" spans="1:15" ht="39.6" x14ac:dyDescent="0.25">
      <c r="A220" s="52" t="s">
        <v>1352</v>
      </c>
      <c r="B220" s="143" t="s">
        <v>87</v>
      </c>
      <c r="C220" s="143" t="s">
        <v>1353</v>
      </c>
      <c r="D220" s="143" t="s">
        <v>395</v>
      </c>
      <c r="E220" s="51" t="s">
        <v>18</v>
      </c>
      <c r="F220" s="52" t="s">
        <v>1284</v>
      </c>
      <c r="G220" s="52" t="s">
        <v>27</v>
      </c>
      <c r="H220" s="52" t="s">
        <v>1351</v>
      </c>
      <c r="I220" s="52" t="s">
        <v>27</v>
      </c>
      <c r="J220" s="52" t="s">
        <v>1975</v>
      </c>
      <c r="K220" s="52" t="s">
        <v>27</v>
      </c>
      <c r="L220" s="53">
        <v>0.13910400000000001</v>
      </c>
      <c r="M220" s="52" t="s">
        <v>1212</v>
      </c>
      <c r="N220" s="53">
        <v>731401.44879379997</v>
      </c>
      <c r="O220" s="52" t="s">
        <v>1305</v>
      </c>
    </row>
    <row r="221" spans="1:15" ht="26.4" x14ac:dyDescent="0.25">
      <c r="A221" s="52" t="s">
        <v>1354</v>
      </c>
      <c r="B221" s="143" t="s">
        <v>87</v>
      </c>
      <c r="C221" s="143" t="s">
        <v>1355</v>
      </c>
      <c r="D221" s="143" t="s">
        <v>853</v>
      </c>
      <c r="E221" s="51" t="s">
        <v>18</v>
      </c>
      <c r="F221" s="52" t="s">
        <v>1356</v>
      </c>
      <c r="G221" s="52" t="s">
        <v>27</v>
      </c>
      <c r="H221" s="52" t="s">
        <v>1976</v>
      </c>
      <c r="I221" s="52" t="s">
        <v>27</v>
      </c>
      <c r="J221" s="52" t="s">
        <v>1360</v>
      </c>
      <c r="K221" s="52" t="s">
        <v>27</v>
      </c>
      <c r="L221" s="53">
        <v>0.120510195</v>
      </c>
      <c r="M221" s="52" t="s">
        <v>1212</v>
      </c>
      <c r="N221" s="53">
        <v>731401.569304</v>
      </c>
      <c r="O221" s="52" t="s">
        <v>1305</v>
      </c>
    </row>
    <row r="222" spans="1:15" ht="26.4" x14ac:dyDescent="0.25">
      <c r="A222" s="52" t="s">
        <v>1357</v>
      </c>
      <c r="B222" s="143" t="s">
        <v>87</v>
      </c>
      <c r="C222" s="143" t="s">
        <v>1358</v>
      </c>
      <c r="D222" s="143" t="s">
        <v>853</v>
      </c>
      <c r="E222" s="51" t="s">
        <v>490</v>
      </c>
      <c r="F222" s="52" t="s">
        <v>1974</v>
      </c>
      <c r="G222" s="52" t="s">
        <v>27</v>
      </c>
      <c r="H222" s="52" t="s">
        <v>1359</v>
      </c>
      <c r="I222" s="52" t="s">
        <v>27</v>
      </c>
      <c r="J222" s="52" t="s">
        <v>1977</v>
      </c>
      <c r="K222" s="52" t="s">
        <v>27</v>
      </c>
      <c r="L222" s="53">
        <v>7.1232251999999996E-2</v>
      </c>
      <c r="M222" s="52" t="s">
        <v>1212</v>
      </c>
      <c r="N222" s="53">
        <v>731401.64053630002</v>
      </c>
      <c r="O222" s="52" t="s">
        <v>1305</v>
      </c>
    </row>
    <row r="223" spans="1:15" ht="26.4" x14ac:dyDescent="0.25">
      <c r="A223" s="52" t="s">
        <v>1361</v>
      </c>
      <c r="B223" s="143" t="s">
        <v>87</v>
      </c>
      <c r="C223" s="143" t="s">
        <v>1362</v>
      </c>
      <c r="D223" s="143" t="s">
        <v>853</v>
      </c>
      <c r="E223" s="51" t="s">
        <v>490</v>
      </c>
      <c r="F223" s="52" t="s">
        <v>1350</v>
      </c>
      <c r="G223" s="52" t="s">
        <v>27</v>
      </c>
      <c r="H223" s="52" t="s">
        <v>1975</v>
      </c>
      <c r="I223" s="52" t="s">
        <v>27</v>
      </c>
      <c r="J223" s="52" t="s">
        <v>1363</v>
      </c>
      <c r="K223" s="52" t="s">
        <v>27</v>
      </c>
      <c r="L223" s="53">
        <v>2.33604E-2</v>
      </c>
      <c r="M223" s="52" t="s">
        <v>1212</v>
      </c>
      <c r="N223" s="53">
        <v>731401.66389670002</v>
      </c>
      <c r="O223" s="52" t="s">
        <v>1305</v>
      </c>
    </row>
    <row r="224" spans="1:15" x14ac:dyDescent="0.25">
      <c r="A224" s="97"/>
      <c r="B224" s="97"/>
      <c r="C224" s="97"/>
      <c r="D224" s="97"/>
      <c r="E224" s="97"/>
      <c r="F224" s="97"/>
      <c r="G224" s="97"/>
      <c r="H224" s="97"/>
      <c r="I224" s="97"/>
      <c r="J224" s="97"/>
      <c r="K224" s="97"/>
      <c r="L224" s="97"/>
      <c r="M224" s="97"/>
      <c r="N224" s="97"/>
      <c r="O224" s="97"/>
    </row>
    <row r="225" spans="1:15" x14ac:dyDescent="0.25">
      <c r="A225" s="151"/>
      <c r="B225" s="151"/>
      <c r="C225" s="151"/>
      <c r="D225" s="151"/>
      <c r="E225" s="151"/>
      <c r="F225" s="151"/>
      <c r="G225" s="151"/>
      <c r="H225" s="151"/>
      <c r="I225" s="151"/>
      <c r="J225" s="151"/>
      <c r="K225" s="151"/>
      <c r="L225" s="195" t="s">
        <v>1364</v>
      </c>
      <c r="M225" s="195"/>
      <c r="N225" s="195"/>
      <c r="O225" s="181"/>
    </row>
    <row r="226" spans="1:15" x14ac:dyDescent="0.25">
      <c r="A226" s="151"/>
      <c r="B226" s="151"/>
      <c r="C226" s="151"/>
      <c r="D226" s="151"/>
      <c r="E226" s="151"/>
      <c r="F226" s="151"/>
      <c r="G226" s="151"/>
      <c r="H226" s="151"/>
      <c r="I226" s="151"/>
      <c r="J226" s="151"/>
      <c r="K226" s="151"/>
      <c r="L226" s="195" t="s">
        <v>853</v>
      </c>
      <c r="M226" s="195"/>
      <c r="N226" s="195"/>
      <c r="O226" s="151" t="s">
        <v>1978</v>
      </c>
    </row>
    <row r="227" spans="1:15" x14ac:dyDescent="0.25">
      <c r="A227" s="151"/>
      <c r="B227" s="151"/>
      <c r="C227" s="151"/>
      <c r="D227" s="151"/>
      <c r="E227" s="151"/>
      <c r="F227" s="151"/>
      <c r="G227" s="151"/>
      <c r="H227" s="151"/>
      <c r="I227" s="151"/>
      <c r="J227" s="151"/>
      <c r="K227" s="151"/>
      <c r="L227" s="195" t="s">
        <v>1365</v>
      </c>
      <c r="M227" s="195"/>
      <c r="N227" s="195"/>
      <c r="O227" s="151" t="s">
        <v>1366</v>
      </c>
    </row>
    <row r="228" spans="1:15" x14ac:dyDescent="0.25">
      <c r="A228" s="151"/>
      <c r="B228" s="151"/>
      <c r="C228" s="151"/>
      <c r="D228" s="151"/>
      <c r="E228" s="151"/>
      <c r="F228" s="151"/>
      <c r="G228" s="151"/>
      <c r="H228" s="151"/>
      <c r="I228" s="151"/>
      <c r="J228" s="151"/>
      <c r="K228" s="151"/>
      <c r="L228" s="195" t="s">
        <v>389</v>
      </c>
      <c r="M228" s="195"/>
      <c r="N228" s="195"/>
      <c r="O228" s="151" t="s">
        <v>1979</v>
      </c>
    </row>
    <row r="229" spans="1:15" x14ac:dyDescent="0.25">
      <c r="A229" s="151"/>
      <c r="B229" s="151"/>
      <c r="C229" s="151"/>
      <c r="D229" s="151"/>
      <c r="E229" s="151"/>
      <c r="F229" s="151"/>
      <c r="G229" s="151"/>
      <c r="H229" s="151"/>
      <c r="I229" s="151"/>
      <c r="J229" s="151"/>
      <c r="K229" s="151"/>
      <c r="L229" s="195" t="s">
        <v>395</v>
      </c>
      <c r="M229" s="195"/>
      <c r="N229" s="195"/>
      <c r="O229" s="151" t="s">
        <v>1980</v>
      </c>
    </row>
    <row r="230" spans="1:15" x14ac:dyDescent="0.25">
      <c r="A230" s="151"/>
      <c r="B230" s="151"/>
      <c r="C230" s="151"/>
      <c r="D230" s="151"/>
      <c r="E230" s="151"/>
      <c r="F230" s="151"/>
      <c r="G230" s="151"/>
      <c r="H230" s="151"/>
      <c r="I230" s="151"/>
      <c r="J230" s="151"/>
      <c r="K230" s="151"/>
      <c r="L230" s="195" t="s">
        <v>909</v>
      </c>
      <c r="M230" s="195"/>
      <c r="N230" s="195"/>
      <c r="O230" s="151" t="s">
        <v>1981</v>
      </c>
    </row>
    <row r="231" spans="1:15" x14ac:dyDescent="0.25">
      <c r="A231" s="151"/>
      <c r="B231" s="151"/>
      <c r="C231" s="151"/>
      <c r="D231" s="151"/>
      <c r="E231" s="151"/>
      <c r="F231" s="151"/>
      <c r="G231" s="151"/>
      <c r="H231" s="151"/>
      <c r="I231" s="151"/>
      <c r="J231" s="151"/>
      <c r="K231" s="151"/>
      <c r="L231" s="195" t="s">
        <v>1118</v>
      </c>
      <c r="M231" s="195"/>
      <c r="N231" s="195"/>
      <c r="O231" s="151" t="s">
        <v>1982</v>
      </c>
    </row>
    <row r="232" spans="1:15" x14ac:dyDescent="0.25">
      <c r="A232" s="151"/>
      <c r="B232" s="151"/>
      <c r="C232" s="151"/>
      <c r="D232" s="151"/>
      <c r="E232" s="151"/>
      <c r="F232" s="151"/>
      <c r="G232" s="151"/>
      <c r="H232" s="151"/>
      <c r="I232" s="151"/>
      <c r="J232" s="151"/>
      <c r="K232" s="151"/>
      <c r="L232" s="195" t="s">
        <v>1367</v>
      </c>
      <c r="M232" s="195"/>
      <c r="N232" s="195"/>
      <c r="O232" s="151" t="s">
        <v>1366</v>
      </c>
    </row>
    <row r="233" spans="1:15" x14ac:dyDescent="0.25">
      <c r="A233" s="151"/>
      <c r="B233" s="151"/>
      <c r="C233" s="151"/>
      <c r="D233" s="151"/>
      <c r="E233" s="151"/>
      <c r="F233" s="151"/>
      <c r="G233" s="151"/>
      <c r="H233" s="151"/>
      <c r="I233" s="151"/>
      <c r="J233" s="151"/>
      <c r="K233" s="151"/>
      <c r="L233" s="195" t="s">
        <v>1368</v>
      </c>
      <c r="M233" s="195"/>
      <c r="N233" s="195"/>
      <c r="O233" s="151" t="s">
        <v>1366</v>
      </c>
    </row>
    <row r="234" spans="1:15" x14ac:dyDescent="0.25">
      <c r="A234" s="151"/>
      <c r="B234" s="151"/>
      <c r="C234" s="151"/>
      <c r="D234" s="151"/>
      <c r="E234" s="151"/>
      <c r="F234" s="151"/>
      <c r="G234" s="151"/>
      <c r="H234" s="151"/>
      <c r="I234" s="151"/>
      <c r="J234" s="151"/>
      <c r="K234" s="151"/>
      <c r="L234" s="195" t="s">
        <v>1369</v>
      </c>
      <c r="M234" s="195"/>
      <c r="N234" s="195"/>
      <c r="O234" s="151" t="s">
        <v>1366</v>
      </c>
    </row>
    <row r="235" spans="1:15" x14ac:dyDescent="0.25">
      <c r="A235" s="151"/>
      <c r="B235" s="151"/>
      <c r="C235" s="151"/>
      <c r="D235" s="151"/>
      <c r="E235" s="151"/>
      <c r="F235" s="151"/>
      <c r="G235" s="151"/>
      <c r="H235" s="151"/>
      <c r="I235" s="151"/>
      <c r="J235" s="151"/>
      <c r="K235" s="151"/>
      <c r="L235" s="195" t="s">
        <v>865</v>
      </c>
      <c r="M235" s="195"/>
      <c r="N235" s="195"/>
      <c r="O235" s="151" t="s">
        <v>1983</v>
      </c>
    </row>
    <row r="236" spans="1:15" x14ac:dyDescent="0.25">
      <c r="A236" s="97"/>
      <c r="B236" s="97"/>
      <c r="C236" s="97"/>
      <c r="D236" s="97"/>
      <c r="E236" s="97"/>
      <c r="F236" s="97"/>
      <c r="G236" s="97"/>
      <c r="H236" s="97"/>
      <c r="I236" s="97"/>
      <c r="J236" s="97"/>
      <c r="K236" s="97"/>
      <c r="L236" s="97"/>
      <c r="M236" s="97"/>
      <c r="N236" s="97"/>
      <c r="O236" s="97"/>
    </row>
    <row r="237" spans="1:15" x14ac:dyDescent="0.25">
      <c r="A237" s="183"/>
      <c r="B237" s="183"/>
      <c r="C237" s="183"/>
      <c r="D237" s="54"/>
      <c r="E237" s="95"/>
      <c r="F237" s="95"/>
      <c r="G237" s="95"/>
      <c r="H237" s="95"/>
      <c r="I237" s="95"/>
      <c r="J237" s="95"/>
      <c r="K237" s="182" t="s">
        <v>93</v>
      </c>
      <c r="L237" s="183"/>
      <c r="M237" s="184">
        <v>567178.78</v>
      </c>
      <c r="N237" s="183"/>
      <c r="O237" s="183"/>
    </row>
    <row r="238" spans="1:15" x14ac:dyDescent="0.25">
      <c r="A238" s="183"/>
      <c r="B238" s="183"/>
      <c r="C238" s="183"/>
      <c r="D238" s="54"/>
      <c r="E238" s="95"/>
      <c r="F238" s="95"/>
      <c r="G238" s="95"/>
      <c r="H238" s="95"/>
      <c r="I238" s="95"/>
      <c r="J238" s="95"/>
      <c r="K238" s="182" t="s">
        <v>94</v>
      </c>
      <c r="L238" s="183"/>
      <c r="M238" s="184">
        <v>163459.88</v>
      </c>
      <c r="N238" s="183"/>
      <c r="O238" s="183"/>
    </row>
    <row r="239" spans="1:15" x14ac:dyDescent="0.25">
      <c r="A239" s="183"/>
      <c r="B239" s="183"/>
      <c r="C239" s="183"/>
      <c r="D239" s="54"/>
      <c r="E239" s="95"/>
      <c r="F239" s="95"/>
      <c r="G239" s="95"/>
      <c r="H239" s="95"/>
      <c r="I239" s="95"/>
      <c r="J239" s="95"/>
      <c r="K239" s="182" t="s">
        <v>95</v>
      </c>
      <c r="L239" s="183"/>
      <c r="M239" s="184">
        <v>730638.66</v>
      </c>
      <c r="N239" s="183"/>
      <c r="O239" s="183"/>
    </row>
    <row r="242" spans="1:15" ht="50.25" customHeight="1" x14ac:dyDescent="0.25">
      <c r="A242" s="192" t="s">
        <v>304</v>
      </c>
      <c r="B242" s="192"/>
      <c r="C242" s="192"/>
      <c r="D242" s="192"/>
      <c r="E242" s="192"/>
      <c r="F242" s="192"/>
      <c r="G242" s="192"/>
      <c r="H242" s="192"/>
      <c r="I242" s="192"/>
      <c r="J242" s="192"/>
      <c r="K242" s="192"/>
      <c r="L242" s="192"/>
      <c r="M242" s="192"/>
      <c r="N242" s="192"/>
      <c r="O242" s="192"/>
    </row>
  </sheetData>
  <mergeCells count="37">
    <mergeCell ref="L234:N234"/>
    <mergeCell ref="A239:C239"/>
    <mergeCell ref="K239:L239"/>
    <mergeCell ref="M239:O239"/>
    <mergeCell ref="L235:N235"/>
    <mergeCell ref="A237:C237"/>
    <mergeCell ref="K237:L237"/>
    <mergeCell ref="M237:O237"/>
    <mergeCell ref="A238:C238"/>
    <mergeCell ref="K238:L238"/>
    <mergeCell ref="M238:O238"/>
    <mergeCell ref="L229:N229"/>
    <mergeCell ref="L230:N230"/>
    <mergeCell ref="L231:N231"/>
    <mergeCell ref="L232:N232"/>
    <mergeCell ref="L233:N233"/>
    <mergeCell ref="A3:I3"/>
    <mergeCell ref="L225:O225"/>
    <mergeCell ref="L226:N226"/>
    <mergeCell ref="L227:N227"/>
    <mergeCell ref="L228:N228"/>
    <mergeCell ref="A242:O242"/>
    <mergeCell ref="E1:G1"/>
    <mergeCell ref="H1:O1"/>
    <mergeCell ref="E2:G2"/>
    <mergeCell ref="H2:O2"/>
    <mergeCell ref="A4:A5"/>
    <mergeCell ref="B4:B5"/>
    <mergeCell ref="C4:C5"/>
    <mergeCell ref="D4:D5"/>
    <mergeCell ref="N4:N5"/>
    <mergeCell ref="O4:O5"/>
    <mergeCell ref="E4:E5"/>
    <mergeCell ref="F4:G4"/>
    <mergeCell ref="H4:I4"/>
    <mergeCell ref="J4:L4"/>
    <mergeCell ref="M4:M5"/>
  </mergeCells>
  <pageMargins left="0.51181102362204722" right="0.51181102362204722" top="0.98425196850393704" bottom="0.98425196850393704" header="0.51181102362204722" footer="0.51181102362204722"/>
  <pageSetup paperSize="9" scale="41" fitToHeight="0" orientation="landscape" r:id="rId1"/>
  <headerFooter>
    <oddHeader xml:space="preserve">&amp;L &amp;C </oddHeader>
    <oddFooter>&amp;L &amp;C&amp;A &amp;R&amp;P de&amp;N</oddFooter>
  </headerFooter>
  <rowBreaks count="1" manualBreakCount="1">
    <brk id="19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28"/>
  <sheetViews>
    <sheetView topLeftCell="A10" zoomScaleNormal="100" zoomScaleSheetLayoutView="100" workbookViewId="0">
      <selection activeCell="F30" sqref="F30"/>
    </sheetView>
  </sheetViews>
  <sheetFormatPr defaultColWidth="9" defaultRowHeight="13.8" x14ac:dyDescent="0.25"/>
  <cols>
    <col min="1" max="1" width="36.69921875" style="104" customWidth="1"/>
    <col min="2" max="2" width="9" style="104"/>
    <col min="3" max="3" width="12.19921875" style="104" customWidth="1"/>
    <col min="4" max="4" width="14.09765625" style="104" customWidth="1"/>
    <col min="5" max="5" width="24.69921875" style="104" customWidth="1"/>
    <col min="6" max="6" width="12.796875" style="104" customWidth="1"/>
    <col min="7" max="7" width="16.796875" style="104" customWidth="1"/>
    <col min="8" max="8" width="13" style="104" bestFit="1" customWidth="1"/>
    <col min="9" max="9" width="16.5" style="104" customWidth="1"/>
    <col min="10" max="10" width="13.59765625" style="104" customWidth="1"/>
    <col min="11" max="11" width="9" style="104"/>
    <col min="12" max="12" width="11.5" style="104" bestFit="1" customWidth="1"/>
    <col min="13" max="13" width="9" style="104"/>
    <col min="14" max="14" width="9.09765625" style="104" bestFit="1" customWidth="1"/>
    <col min="15" max="16384" width="9" style="104"/>
  </cols>
  <sheetData>
    <row r="1" spans="1:10" x14ac:dyDescent="0.25">
      <c r="A1" s="102"/>
      <c r="B1" s="102"/>
      <c r="C1" s="103"/>
      <c r="D1" s="102"/>
      <c r="E1" s="102"/>
      <c r="F1" s="102"/>
      <c r="G1" s="102"/>
      <c r="H1" s="102"/>
      <c r="I1" s="102"/>
      <c r="J1" s="102"/>
    </row>
    <row r="2" spans="1:10" ht="21" x14ac:dyDescent="0.4">
      <c r="A2" s="249"/>
      <c r="B2" s="249"/>
      <c r="C2" s="249"/>
      <c r="D2" s="249"/>
      <c r="E2" s="249"/>
      <c r="F2" s="249"/>
      <c r="G2" s="249"/>
      <c r="H2" s="249"/>
      <c r="I2" s="249"/>
      <c r="J2" s="249"/>
    </row>
    <row r="3" spans="1:10" ht="15.6" x14ac:dyDescent="0.25">
      <c r="A3" s="250"/>
      <c r="B3" s="250"/>
      <c r="C3" s="250"/>
      <c r="D3" s="250"/>
      <c r="E3" s="250"/>
      <c r="F3" s="250"/>
      <c r="G3" s="250"/>
      <c r="H3" s="250"/>
      <c r="I3" s="250"/>
      <c r="J3" s="250"/>
    </row>
    <row r="4" spans="1:10" ht="15.6" x14ac:dyDescent="0.25">
      <c r="A4" s="105"/>
      <c r="B4" s="105"/>
      <c r="C4" s="105"/>
      <c r="D4" s="105"/>
      <c r="E4" s="105"/>
      <c r="F4" s="105"/>
      <c r="G4" s="105"/>
      <c r="H4" s="105"/>
      <c r="I4" s="105"/>
      <c r="J4" s="105"/>
    </row>
    <row r="5" spans="1:10" ht="15.6" x14ac:dyDescent="0.25">
      <c r="A5" s="106" t="str">
        <f>'Planilha sintetica'!A1</f>
        <v>Cliente: PREFEITURA MUNICIPAL DE ENGENHEIRO COELHO</v>
      </c>
      <c r="B5" s="105"/>
      <c r="C5" s="105"/>
      <c r="D5" s="105"/>
      <c r="E5" s="105"/>
      <c r="F5" s="105"/>
      <c r="G5" s="105"/>
      <c r="H5" s="105"/>
      <c r="I5" s="105"/>
      <c r="J5" s="105"/>
    </row>
    <row r="6" spans="1:10" ht="15.6" x14ac:dyDescent="0.25">
      <c r="A6" s="106" t="str">
        <f>'Planilha sintetica'!A2</f>
        <v>Obra: TRAVESSIA JARDIM MERCEDEZ - PORTAL DO LAGO</v>
      </c>
      <c r="B6" s="105"/>
      <c r="C6" s="105"/>
      <c r="D6" s="105"/>
      <c r="E6" s="105"/>
      <c r="F6" s="105"/>
      <c r="G6" s="105"/>
      <c r="H6" s="105"/>
      <c r="I6" s="105"/>
      <c r="J6" s="105"/>
    </row>
    <row r="7" spans="1:10" ht="15.6" x14ac:dyDescent="0.25">
      <c r="A7" s="106" t="str">
        <f>'Planilha sintetica'!A3</f>
        <v>Local: PORTAL DO LAGO,  MUNÍCIPIO DE ENGENHEIRO COLEHO/SP</v>
      </c>
      <c r="B7" s="105"/>
      <c r="C7" s="105"/>
      <c r="D7" s="105"/>
      <c r="E7" s="105"/>
      <c r="F7" s="105"/>
      <c r="G7" s="105"/>
      <c r="H7" s="105"/>
      <c r="I7" s="105"/>
      <c r="J7" s="105"/>
    </row>
    <row r="8" spans="1:10" x14ac:dyDescent="0.25">
      <c r="A8" s="106" t="str">
        <f>'Planilha sintetica'!A4</f>
        <v>Data Base: Junho de 2023</v>
      </c>
      <c r="B8" s="107"/>
      <c r="C8" s="103"/>
      <c r="D8" s="103"/>
      <c r="E8" s="103"/>
      <c r="F8" s="103"/>
      <c r="G8" s="103"/>
      <c r="H8" s="102"/>
      <c r="I8" s="102"/>
      <c r="J8" s="108"/>
    </row>
    <row r="9" spans="1:10" ht="15.6" x14ac:dyDescent="0.3">
      <c r="A9" s="106" t="str">
        <f>'Planilha sintetica'!A5</f>
        <v>Arquivo: 172 - O - 2386- 20 - 001_1</v>
      </c>
      <c r="B9" s="109"/>
      <c r="C9" s="109"/>
      <c r="D9" s="109"/>
      <c r="E9" s="109"/>
      <c r="F9" s="109"/>
      <c r="G9" s="109"/>
      <c r="H9" s="109"/>
      <c r="I9" s="109"/>
      <c r="J9" s="109"/>
    </row>
    <row r="10" spans="1:10" x14ac:dyDescent="0.25">
      <c r="A10" s="106"/>
      <c r="B10" s="110"/>
      <c r="C10" s="110"/>
      <c r="D10" s="111"/>
      <c r="E10" s="111"/>
      <c r="F10" s="111"/>
      <c r="G10" s="112"/>
      <c r="H10" s="102"/>
      <c r="I10" s="102"/>
      <c r="J10" s="108"/>
    </row>
    <row r="11" spans="1:10" x14ac:dyDescent="0.25">
      <c r="A11" s="251"/>
      <c r="B11" s="252"/>
      <c r="C11" s="252"/>
      <c r="D11" s="252"/>
      <c r="E11" s="252"/>
      <c r="F11" s="111"/>
      <c r="G11" s="103"/>
      <c r="H11" s="102"/>
      <c r="I11" s="102"/>
      <c r="J11" s="108"/>
    </row>
    <row r="12" spans="1:10" x14ac:dyDescent="0.25">
      <c r="A12" s="111"/>
      <c r="B12" s="113"/>
      <c r="C12" s="113"/>
      <c r="D12" s="113"/>
      <c r="E12" s="113"/>
      <c r="F12" s="111"/>
      <c r="G12" s="103"/>
      <c r="H12" s="102"/>
      <c r="I12" s="102"/>
      <c r="J12" s="108"/>
    </row>
    <row r="13" spans="1:10" ht="17.399999999999999" x14ac:dyDescent="0.3">
      <c r="A13" s="111"/>
      <c r="B13" s="113"/>
      <c r="C13" s="114" t="s">
        <v>354</v>
      </c>
      <c r="D13" s="113"/>
      <c r="E13" s="113"/>
      <c r="F13" s="111"/>
      <c r="G13" s="103"/>
      <c r="H13" s="102"/>
      <c r="I13" s="102"/>
      <c r="J13" s="108"/>
    </row>
    <row r="14" spans="1:10" x14ac:dyDescent="0.25">
      <c r="A14" s="111"/>
      <c r="B14" s="113"/>
      <c r="C14" s="113"/>
      <c r="D14" s="113"/>
      <c r="E14" s="113"/>
      <c r="F14" s="111"/>
      <c r="G14" s="103"/>
      <c r="H14" s="102"/>
      <c r="I14" s="102"/>
      <c r="J14" s="108"/>
    </row>
    <row r="15" spans="1:10" x14ac:dyDescent="0.25">
      <c r="A15" s="115"/>
      <c r="B15" s="115"/>
      <c r="C15" s="115"/>
      <c r="D15" s="115"/>
      <c r="E15" s="115"/>
      <c r="F15" s="115"/>
      <c r="G15" s="115"/>
      <c r="H15" s="115"/>
      <c r="I15" s="115"/>
      <c r="J15" s="115"/>
    </row>
    <row r="16" spans="1:10" x14ac:dyDescent="0.25">
      <c r="A16" s="116"/>
      <c r="B16" s="102"/>
      <c r="C16" s="102"/>
      <c r="D16" s="102"/>
      <c r="E16" s="102"/>
      <c r="F16" s="102"/>
      <c r="G16" s="102"/>
      <c r="H16" s="102"/>
      <c r="I16" s="102"/>
      <c r="J16" s="102"/>
    </row>
    <row r="17" spans="1:12" s="122" customFormat="1" ht="14.4" thickBot="1" x14ac:dyDescent="0.3">
      <c r="A17" s="117"/>
      <c r="B17" s="118"/>
      <c r="C17" s="119"/>
      <c r="D17" s="120"/>
      <c r="E17" s="121"/>
      <c r="G17" s="121"/>
      <c r="H17" s="123"/>
      <c r="I17" s="123"/>
      <c r="J17" s="124"/>
    </row>
    <row r="18" spans="1:12" s="122" customFormat="1" ht="14.4" thickBot="1" x14ac:dyDescent="0.3">
      <c r="A18" s="125"/>
      <c r="B18" s="253" t="s">
        <v>355</v>
      </c>
      <c r="C18" s="254"/>
      <c r="D18" s="255" t="s">
        <v>356</v>
      </c>
      <c r="E18" s="256"/>
      <c r="F18" s="257" t="s">
        <v>357</v>
      </c>
      <c r="G18" s="258"/>
      <c r="H18" s="259"/>
      <c r="I18" s="260"/>
      <c r="J18" s="261" t="s">
        <v>358</v>
      </c>
    </row>
    <row r="19" spans="1:12" s="122" customFormat="1" ht="51.75" customHeight="1" thickBot="1" x14ac:dyDescent="0.3">
      <c r="A19" s="125"/>
      <c r="B19" s="253" t="s">
        <v>359</v>
      </c>
      <c r="C19" s="254"/>
      <c r="D19" s="255" t="s">
        <v>371</v>
      </c>
      <c r="E19" s="256"/>
      <c r="F19" s="257" t="s">
        <v>376</v>
      </c>
      <c r="G19" s="258"/>
      <c r="H19" s="257"/>
      <c r="I19" s="258"/>
      <c r="J19" s="262"/>
    </row>
    <row r="20" spans="1:12" s="122" customFormat="1" ht="14.4" thickBot="1" x14ac:dyDescent="0.3">
      <c r="A20" s="125"/>
      <c r="B20" s="253" t="s">
        <v>360</v>
      </c>
      <c r="C20" s="254"/>
      <c r="D20" s="255" t="s">
        <v>50</v>
      </c>
      <c r="E20" s="256"/>
      <c r="F20" s="257" t="s">
        <v>377</v>
      </c>
      <c r="G20" s="258"/>
      <c r="H20" s="257"/>
      <c r="I20" s="258"/>
      <c r="J20" s="262"/>
    </row>
    <row r="21" spans="1:12" s="122" customFormat="1" ht="14.4" thickBot="1" x14ac:dyDescent="0.3">
      <c r="A21" s="125"/>
      <c r="B21" s="263" t="s">
        <v>361</v>
      </c>
      <c r="C21" s="264"/>
      <c r="D21" s="255" t="s">
        <v>372</v>
      </c>
      <c r="E21" s="256"/>
      <c r="F21" s="257" t="s">
        <v>378</v>
      </c>
      <c r="G21" s="258"/>
      <c r="H21" s="257"/>
      <c r="I21" s="258"/>
      <c r="J21" s="262"/>
    </row>
    <row r="22" spans="1:12" s="122" customFormat="1" ht="14.4" thickBot="1" x14ac:dyDescent="0.3">
      <c r="A22" s="125"/>
      <c r="B22" s="253" t="s">
        <v>362</v>
      </c>
      <c r="C22" s="254"/>
      <c r="D22" s="255" t="s">
        <v>373</v>
      </c>
      <c r="E22" s="256"/>
      <c r="F22" s="257" t="s">
        <v>379</v>
      </c>
      <c r="G22" s="258"/>
      <c r="H22" s="257"/>
      <c r="I22" s="258"/>
      <c r="J22" s="262"/>
    </row>
    <row r="23" spans="1:12" s="122" customFormat="1" ht="14.4" thickBot="1" x14ac:dyDescent="0.3">
      <c r="A23" s="125"/>
      <c r="B23" s="253" t="s">
        <v>363</v>
      </c>
      <c r="C23" s="254"/>
      <c r="D23" s="267" t="s">
        <v>374</v>
      </c>
      <c r="E23" s="268"/>
      <c r="F23" s="269" t="s">
        <v>380</v>
      </c>
      <c r="G23" s="270"/>
      <c r="H23" s="271"/>
      <c r="I23" s="270"/>
      <c r="J23" s="262"/>
    </row>
    <row r="24" spans="1:12" s="122" customFormat="1" ht="14.4" thickBot="1" x14ac:dyDescent="0.3">
      <c r="A24" s="125"/>
      <c r="B24" s="253" t="s">
        <v>364</v>
      </c>
      <c r="C24" s="254"/>
      <c r="D24" s="272">
        <v>44894</v>
      </c>
      <c r="E24" s="273"/>
      <c r="F24" s="274">
        <v>44882</v>
      </c>
      <c r="G24" s="275"/>
      <c r="H24" s="276"/>
      <c r="I24" s="277"/>
      <c r="J24" s="262"/>
    </row>
    <row r="25" spans="1:12" ht="15.75" customHeight="1" thickBot="1" x14ac:dyDescent="0.3">
      <c r="A25" s="265" t="s">
        <v>365</v>
      </c>
      <c r="B25" s="280" t="s">
        <v>366</v>
      </c>
      <c r="C25" s="280" t="s">
        <v>367</v>
      </c>
      <c r="D25" s="278" t="s">
        <v>368</v>
      </c>
      <c r="E25" s="279" t="s">
        <v>369</v>
      </c>
      <c r="F25" s="278" t="s">
        <v>368</v>
      </c>
      <c r="G25" s="279" t="s">
        <v>369</v>
      </c>
      <c r="H25" s="278" t="s">
        <v>368</v>
      </c>
      <c r="I25" s="278" t="s">
        <v>369</v>
      </c>
      <c r="J25" s="262"/>
    </row>
    <row r="26" spans="1:12" ht="14.4" thickBot="1" x14ac:dyDescent="0.3">
      <c r="A26" s="266"/>
      <c r="B26" s="281"/>
      <c r="C26" s="281"/>
      <c r="D26" s="279"/>
      <c r="E26" s="282"/>
      <c r="F26" s="279"/>
      <c r="G26" s="282"/>
      <c r="H26" s="279"/>
      <c r="I26" s="279"/>
      <c r="J26" s="262"/>
    </row>
    <row r="27" spans="1:12" ht="27.6" x14ac:dyDescent="0.25">
      <c r="A27" s="126" t="s">
        <v>375</v>
      </c>
      <c r="B27" s="127" t="s">
        <v>366</v>
      </c>
      <c r="C27" s="128">
        <v>14</v>
      </c>
      <c r="D27" s="129">
        <v>6720</v>
      </c>
      <c r="E27" s="130">
        <f>C27*D27</f>
        <v>94080</v>
      </c>
      <c r="F27" s="129">
        <v>5275</v>
      </c>
      <c r="G27" s="131">
        <f>C27*F27</f>
        <v>73850</v>
      </c>
      <c r="H27" s="132"/>
      <c r="I27" s="130">
        <f>G27*H27</f>
        <v>0</v>
      </c>
      <c r="J27" s="133">
        <f>AVERAGE(F27,D27)</f>
        <v>5997.5</v>
      </c>
      <c r="L27" s="134"/>
    </row>
    <row r="28" spans="1:12" ht="27.6" hidden="1" x14ac:dyDescent="0.25">
      <c r="A28" s="141" t="s">
        <v>370</v>
      </c>
      <c r="B28" s="135" t="s">
        <v>366</v>
      </c>
      <c r="C28" s="136">
        <v>9</v>
      </c>
      <c r="D28" s="139">
        <v>9628.98</v>
      </c>
      <c r="E28" s="137">
        <f t="shared" ref="E28" si="0">C28*D28</f>
        <v>86660.819999999992</v>
      </c>
      <c r="F28" s="139">
        <v>8903.69</v>
      </c>
      <c r="G28" s="138">
        <f t="shared" ref="G28" si="1">C28*F28</f>
        <v>80133.210000000006</v>
      </c>
      <c r="H28" s="139"/>
      <c r="I28" s="137">
        <f t="shared" ref="I28" si="2">G28*H28</f>
        <v>0</v>
      </c>
      <c r="J28" s="140">
        <f t="shared" ref="J28" si="3">AVERAGE(F28,D28)</f>
        <v>9266.3349999999991</v>
      </c>
    </row>
  </sheetData>
  <mergeCells count="42">
    <mergeCell ref="C25:C26"/>
    <mergeCell ref="D25:D26"/>
    <mergeCell ref="E25:E26"/>
    <mergeCell ref="F25:F26"/>
    <mergeCell ref="G25:G26"/>
    <mergeCell ref="B22:C22"/>
    <mergeCell ref="D22:E22"/>
    <mergeCell ref="F22:G22"/>
    <mergeCell ref="H22:I22"/>
    <mergeCell ref="A25:A26"/>
    <mergeCell ref="B23:C23"/>
    <mergeCell ref="D23:E23"/>
    <mergeCell ref="F23:G23"/>
    <mergeCell ref="H23:I23"/>
    <mergeCell ref="B24:C24"/>
    <mergeCell ref="D24:E24"/>
    <mergeCell ref="F24:G24"/>
    <mergeCell ref="H24:I24"/>
    <mergeCell ref="H25:H26"/>
    <mergeCell ref="I25:I26"/>
    <mergeCell ref="B25:B26"/>
    <mergeCell ref="H20:I20"/>
    <mergeCell ref="B21:C21"/>
    <mergeCell ref="D21:E21"/>
    <mergeCell ref="F21:G21"/>
    <mergeCell ref="H21:I21"/>
    <mergeCell ref="A2:J2"/>
    <mergeCell ref="A3:J3"/>
    <mergeCell ref="A11:C11"/>
    <mergeCell ref="D11:E11"/>
    <mergeCell ref="B18:C18"/>
    <mergeCell ref="D18:E18"/>
    <mergeCell ref="F18:G18"/>
    <mergeCell ref="H18:I18"/>
    <mergeCell ref="J18:J26"/>
    <mergeCell ref="B19:C19"/>
    <mergeCell ref="D19:E19"/>
    <mergeCell ref="F19:G19"/>
    <mergeCell ref="H19:I19"/>
    <mergeCell ref="B20:C20"/>
    <mergeCell ref="D20:E20"/>
    <mergeCell ref="F20:G20"/>
  </mergeCells>
  <hyperlinks>
    <hyperlink ref="D23" r:id="rId1"/>
    <hyperlink ref="F23" r:id="rId2"/>
  </hyperlinks>
  <pageMargins left="0.511811024" right="0.511811024" top="0.78740157499999996" bottom="0.78740157499999996" header="0.31496062000000002" footer="0.31496062000000002"/>
  <pageSetup paperSize="9" scale="5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9</vt:i4>
      </vt:variant>
    </vt:vector>
  </HeadingPairs>
  <TitlesOfParts>
    <vt:vector size="17" baseType="lpstr">
      <vt:lpstr>Curva ABC - Rick</vt:lpstr>
      <vt:lpstr>Planilha sintetica</vt:lpstr>
      <vt:lpstr>Memorial de Cálculo</vt:lpstr>
      <vt:lpstr>Orçamento Analítico</vt:lpstr>
      <vt:lpstr>CRONOG</vt:lpstr>
      <vt:lpstr>BDI</vt:lpstr>
      <vt:lpstr>Curva ABC de Insumos</vt:lpstr>
      <vt:lpstr>COTAÇaO ADUELA</vt:lpstr>
      <vt:lpstr>BDI!Area_de_impressao</vt:lpstr>
      <vt:lpstr>'COTAÇaO ADUELA'!Area_de_impressao</vt:lpstr>
      <vt:lpstr>CRONOG!Area_de_impressao</vt:lpstr>
      <vt:lpstr>'Curva ABC - Rick'!Area_de_impressao</vt:lpstr>
      <vt:lpstr>'Curva ABC de Insumos'!Area_de_impressao</vt:lpstr>
      <vt:lpstr>'Memorial de Cálculo'!Area_de_impressao</vt:lpstr>
      <vt:lpstr>'Orçamento Analítico'!Area_de_impressao</vt:lpstr>
      <vt:lpstr>'Curva ABC - Rick'!Titulos_de_impressao</vt:lpstr>
      <vt:lpstr>'Planilha sintetica'!Titulos_de_impressao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Ricardo</cp:lastModifiedBy>
  <cp:revision>0</cp:revision>
  <cp:lastPrinted>2023-08-09T14:18:13Z</cp:lastPrinted>
  <dcterms:created xsi:type="dcterms:W3CDTF">2020-04-13T11:45:09Z</dcterms:created>
  <dcterms:modified xsi:type="dcterms:W3CDTF">2023-08-09T14:28:44Z</dcterms:modified>
</cp:coreProperties>
</file>